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y Documents\Ingenus\Book\MOS Excel 2013\Data\"/>
    </mc:Choice>
  </mc:AlternateContent>
  <bookViews>
    <workbookView xWindow="480" yWindow="48" windowWidth="11340" windowHeight="6564" activeTab="2"/>
  </bookViews>
  <sheets>
    <sheet name="January" sheetId="1" r:id="rId1"/>
    <sheet name="February" sheetId="9" r:id="rId2"/>
    <sheet name="March" sheetId="10" r:id="rId3"/>
    <sheet name="Unit prices" sheetId="8" r:id="rId4"/>
  </sheets>
  <calcPr calcId="152511"/>
</workbook>
</file>

<file path=xl/calcChain.xml><?xml version="1.0" encoding="utf-8"?>
<calcChain xmlns="http://schemas.openxmlformats.org/spreadsheetml/2006/main">
  <c r="I12" i="10" l="1"/>
  <c r="H12" i="10"/>
  <c r="H23" i="10" s="1"/>
  <c r="H11" i="10"/>
  <c r="J11" i="10" s="1"/>
  <c r="I15" i="10"/>
  <c r="H15" i="10"/>
  <c r="I14" i="10"/>
  <c r="I25" i="10" s="1"/>
  <c r="H14" i="10"/>
  <c r="J14" i="10" s="1"/>
  <c r="I11" i="10"/>
  <c r="I10" i="10"/>
  <c r="H10" i="10"/>
  <c r="J10" i="10" s="1"/>
  <c r="I9" i="10"/>
  <c r="J9" i="10" s="1"/>
  <c r="H9" i="10"/>
  <c r="I8" i="10"/>
  <c r="H8" i="10"/>
  <c r="I14" i="9"/>
  <c r="I25" i="9" s="1"/>
  <c r="E25" i="9"/>
  <c r="C25" i="9"/>
  <c r="I15" i="9"/>
  <c r="J15" i="9" s="1"/>
  <c r="H15" i="9"/>
  <c r="H14" i="9"/>
  <c r="I12" i="9"/>
  <c r="H12" i="9"/>
  <c r="H23" i="9" s="1"/>
  <c r="H12" i="1"/>
  <c r="I10" i="9"/>
  <c r="H10" i="9"/>
  <c r="J10" i="9" s="1"/>
  <c r="I9" i="9"/>
  <c r="I20" i="9" s="1"/>
  <c r="H9" i="9"/>
  <c r="I8" i="9"/>
  <c r="H8" i="9"/>
  <c r="H19" i="9" s="1"/>
  <c r="J8" i="10"/>
  <c r="J12" i="10"/>
  <c r="H13" i="10"/>
  <c r="I13" i="10"/>
  <c r="J13" i="10" s="1"/>
  <c r="J15" i="10"/>
  <c r="J16" i="10"/>
  <c r="B19" i="10"/>
  <c r="C19" i="10"/>
  <c r="D19" i="10"/>
  <c r="E19" i="10"/>
  <c r="F19" i="10"/>
  <c r="G19" i="10"/>
  <c r="H19" i="10"/>
  <c r="I19" i="10"/>
  <c r="B20" i="10"/>
  <c r="C20" i="10"/>
  <c r="D20" i="10"/>
  <c r="E20" i="10"/>
  <c r="F20" i="10"/>
  <c r="G20" i="10"/>
  <c r="H20" i="10"/>
  <c r="B21" i="10"/>
  <c r="C21" i="10"/>
  <c r="D21" i="10"/>
  <c r="E21" i="10"/>
  <c r="F21" i="10"/>
  <c r="G21" i="10"/>
  <c r="H21" i="10"/>
  <c r="I21" i="10"/>
  <c r="B22" i="10"/>
  <c r="C22" i="10"/>
  <c r="D22" i="10"/>
  <c r="E22" i="10"/>
  <c r="F22" i="10"/>
  <c r="G22" i="10"/>
  <c r="H22" i="10"/>
  <c r="I22" i="10"/>
  <c r="B23" i="10"/>
  <c r="C23" i="10"/>
  <c r="D23" i="10"/>
  <c r="E23" i="10"/>
  <c r="F23" i="10"/>
  <c r="G23" i="10"/>
  <c r="I23" i="10"/>
  <c r="B24" i="10"/>
  <c r="C24" i="10"/>
  <c r="D24" i="10"/>
  <c r="E24" i="10"/>
  <c r="F24" i="10"/>
  <c r="G24" i="10"/>
  <c r="H24" i="10"/>
  <c r="I24" i="10"/>
  <c r="B25" i="10"/>
  <c r="C25" i="10"/>
  <c r="D25" i="10"/>
  <c r="E25" i="10"/>
  <c r="F25" i="10"/>
  <c r="G25" i="10"/>
  <c r="B26" i="10"/>
  <c r="C26" i="10"/>
  <c r="D26" i="10"/>
  <c r="E26" i="10"/>
  <c r="F26" i="10"/>
  <c r="G26" i="10"/>
  <c r="H26" i="10"/>
  <c r="I26" i="10"/>
  <c r="B27" i="10"/>
  <c r="C27" i="10"/>
  <c r="D27" i="10"/>
  <c r="E27" i="10"/>
  <c r="F27" i="10"/>
  <c r="G27" i="10"/>
  <c r="H27" i="10"/>
  <c r="I27" i="10"/>
  <c r="J8" i="9"/>
  <c r="H11" i="9"/>
  <c r="H22" i="9" s="1"/>
  <c r="I11" i="9"/>
  <c r="J11" i="9" s="1"/>
  <c r="H13" i="9"/>
  <c r="I13" i="9"/>
  <c r="J13" i="9" s="1"/>
  <c r="J14" i="9"/>
  <c r="J16" i="9"/>
  <c r="B19" i="9"/>
  <c r="C19" i="9"/>
  <c r="D19" i="9"/>
  <c r="E19" i="9"/>
  <c r="F19" i="9"/>
  <c r="G19" i="9"/>
  <c r="I19" i="9"/>
  <c r="B20" i="9"/>
  <c r="C20" i="9"/>
  <c r="J20" i="9" s="1"/>
  <c r="D20" i="9"/>
  <c r="E20" i="9"/>
  <c r="F20" i="9"/>
  <c r="G20" i="9"/>
  <c r="H20" i="9"/>
  <c r="B21" i="9"/>
  <c r="C21" i="9"/>
  <c r="D21" i="9"/>
  <c r="E21" i="9"/>
  <c r="F21" i="9"/>
  <c r="G21" i="9"/>
  <c r="I21" i="9"/>
  <c r="B22" i="9"/>
  <c r="C22" i="9"/>
  <c r="D22" i="9"/>
  <c r="E22" i="9"/>
  <c r="F22" i="9"/>
  <c r="G22" i="9"/>
  <c r="B23" i="9"/>
  <c r="C23" i="9"/>
  <c r="D23" i="9"/>
  <c r="E23" i="9"/>
  <c r="F23" i="9"/>
  <c r="G23" i="9"/>
  <c r="I23" i="9"/>
  <c r="B24" i="9"/>
  <c r="C24" i="9"/>
  <c r="D24" i="9"/>
  <c r="E24" i="9"/>
  <c r="F24" i="9"/>
  <c r="G24" i="9"/>
  <c r="H24" i="9"/>
  <c r="I24" i="9"/>
  <c r="J24" i="9"/>
  <c r="B25" i="9"/>
  <c r="D25" i="9"/>
  <c r="F25" i="9"/>
  <c r="G25" i="9"/>
  <c r="H25" i="9"/>
  <c r="B26" i="9"/>
  <c r="C26" i="9"/>
  <c r="D26" i="9"/>
  <c r="E26" i="9"/>
  <c r="F26" i="9"/>
  <c r="G26" i="9"/>
  <c r="H26" i="9"/>
  <c r="B27" i="9"/>
  <c r="C27" i="9"/>
  <c r="D27" i="9"/>
  <c r="E27" i="9"/>
  <c r="F27" i="9"/>
  <c r="G27" i="9"/>
  <c r="H27" i="9"/>
  <c r="I27" i="9"/>
  <c r="H23" i="1"/>
  <c r="I13" i="1"/>
  <c r="I24" i="1" s="1"/>
  <c r="H11" i="1"/>
  <c r="I15" i="1"/>
  <c r="H15" i="1"/>
  <c r="H26" i="1" s="1"/>
  <c r="I14" i="1"/>
  <c r="I25" i="1" s="1"/>
  <c r="H14" i="1"/>
  <c r="H13" i="1"/>
  <c r="H8" i="1"/>
  <c r="H19" i="1" s="1"/>
  <c r="I9" i="1"/>
  <c r="I20" i="1" s="1"/>
  <c r="I12" i="1"/>
  <c r="I11" i="1"/>
  <c r="I10" i="1"/>
  <c r="I21" i="1" s="1"/>
  <c r="I8" i="1"/>
  <c r="I19" i="1" s="1"/>
  <c r="H9" i="1"/>
  <c r="H10" i="1"/>
  <c r="H21" i="1" s="1"/>
  <c r="F21" i="1"/>
  <c r="G21" i="1"/>
  <c r="D21" i="1"/>
  <c r="E21" i="1"/>
  <c r="B22" i="1"/>
  <c r="C22" i="1"/>
  <c r="D22" i="1"/>
  <c r="E22" i="1"/>
  <c r="F22" i="1"/>
  <c r="G22" i="1"/>
  <c r="H22" i="1"/>
  <c r="I22" i="1"/>
  <c r="J22" i="1"/>
  <c r="B23" i="1"/>
  <c r="C23" i="1"/>
  <c r="D23" i="1"/>
  <c r="E23" i="1"/>
  <c r="F23" i="1"/>
  <c r="G23" i="1"/>
  <c r="I23" i="1"/>
  <c r="H20" i="1"/>
  <c r="B20" i="1"/>
  <c r="C20" i="1"/>
  <c r="E20" i="1"/>
  <c r="B19" i="1"/>
  <c r="C19" i="1"/>
  <c r="D19" i="1"/>
  <c r="E19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I26" i="1"/>
  <c r="B27" i="1"/>
  <c r="C27" i="1"/>
  <c r="D27" i="1"/>
  <c r="E27" i="1"/>
  <c r="F27" i="1"/>
  <c r="G27" i="1"/>
  <c r="H27" i="1"/>
  <c r="I27" i="1"/>
  <c r="J9" i="1"/>
  <c r="J11" i="1"/>
  <c r="J12" i="1"/>
  <c r="J13" i="1"/>
  <c r="J16" i="1"/>
  <c r="D20" i="1"/>
  <c r="F20" i="1"/>
  <c r="G20" i="1"/>
  <c r="B21" i="1"/>
  <c r="C21" i="1"/>
  <c r="F19" i="1"/>
  <c r="G19" i="1"/>
  <c r="J22" i="10" l="1"/>
  <c r="J24" i="10"/>
  <c r="J26" i="10"/>
  <c r="J25" i="1"/>
  <c r="J8" i="1"/>
  <c r="J14" i="1"/>
  <c r="J10" i="1"/>
  <c r="J27" i="1"/>
  <c r="I26" i="9"/>
  <c r="J26" i="9" s="1"/>
  <c r="J22" i="9"/>
  <c r="J12" i="9"/>
  <c r="J9" i="9"/>
  <c r="H25" i="10"/>
  <c r="J25" i="10" s="1"/>
  <c r="I20" i="10"/>
  <c r="J20" i="10" s="1"/>
  <c r="I22" i="9"/>
  <c r="J19" i="1"/>
  <c r="J28" i="1" s="1"/>
  <c r="J30" i="1" s="1"/>
  <c r="J15" i="1"/>
  <c r="H21" i="9"/>
  <c r="J26" i="1"/>
  <c r="J23" i="1"/>
  <c r="J25" i="9"/>
  <c r="J23" i="9"/>
  <c r="J19" i="9"/>
  <c r="J21" i="10"/>
  <c r="J21" i="1"/>
  <c r="J24" i="1"/>
  <c r="J20" i="1"/>
  <c r="J27" i="9"/>
  <c r="J21" i="9"/>
  <c r="J27" i="10"/>
  <c r="J23" i="10"/>
  <c r="J19" i="10"/>
  <c r="J28" i="10" l="1"/>
  <c r="J30" i="10" s="1"/>
  <c r="J28" i="9"/>
  <c r="J30" i="9" s="1"/>
</calcChain>
</file>

<file path=xl/sharedStrings.xml><?xml version="1.0" encoding="utf-8"?>
<sst xmlns="http://schemas.openxmlformats.org/spreadsheetml/2006/main" count="147" uniqueCount="27">
  <si>
    <t>Dragon's Cauldron</t>
  </si>
  <si>
    <t>Belly of the Beast</t>
  </si>
  <si>
    <t>Magma Core</t>
  </si>
  <si>
    <t>Typhoon Warning</t>
  </si>
  <si>
    <t>Uranium 235</t>
  </si>
  <si>
    <t>Szechuan Singe</t>
  </si>
  <si>
    <t>Wasabi Fusion</t>
  </si>
  <si>
    <t>Sorrento Serrano</t>
  </si>
  <si>
    <t>Yucatan Bomb</t>
  </si>
  <si>
    <t>Toast Jammer</t>
  </si>
  <si>
    <t>Monthly Sales Breakdown</t>
  </si>
  <si>
    <t>Online</t>
  </si>
  <si>
    <t>Direct mail catalog</t>
  </si>
  <si>
    <t>Trade exhibits</t>
  </si>
  <si>
    <t>Fundraising catalog</t>
  </si>
  <si>
    <t>Unit sales</t>
  </si>
  <si>
    <t>Unit prices</t>
  </si>
  <si>
    <t>Restaurants (bulk)</t>
  </si>
  <si>
    <t>Retail</t>
  </si>
  <si>
    <t>Wholesale</t>
  </si>
  <si>
    <t>For-profit retailers (unit)</t>
  </si>
  <si>
    <t>For-profit retailers (bulk)</t>
  </si>
  <si>
    <t>Non-profit resellers</t>
  </si>
  <si>
    <t>Total</t>
  </si>
  <si>
    <t>Gross sales</t>
  </si>
  <si>
    <t>Taxes paid</t>
  </si>
  <si>
    <t>Sales after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</si>
</sst>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2"/>
      <name val="Calisto MT"/>
      <family val="1"/>
    </font>
    <font>
      <sz val="10"/>
      <name val="Arial"/>
      <family val="2"/>
    </font>
    <font>
      <sz val="12"/>
      <name val="Andy"/>
      <family val="4"/>
    </font>
    <font>
      <sz val="11"/>
      <name val="Verdana"/>
      <family val="2"/>
    </font>
    <font>
      <b/>
      <sz val="11"/>
      <name val="Verdana"/>
      <family val="2"/>
    </font>
    <font>
      <sz val="26"/>
      <name val="Calisto MT"/>
      <family val="1"/>
    </font>
    <font>
      <sz val="11"/>
      <name val="Calisto MT"/>
      <family val="1"/>
    </font>
    <font>
      <b/>
      <sz val="11"/>
      <name val="Calisto MT"/>
      <family val="1"/>
    </font>
    <font>
      <sz val="14"/>
      <name val="Verdana"/>
      <family val="2"/>
    </font>
    <font>
      <sz val="12"/>
      <name val="Calisto MT"/>
      <family val="1"/>
    </font>
    <font>
      <sz val="12"/>
      <name val="Verdana"/>
      <family val="2"/>
    </font>
    <font>
      <sz val="12"/>
      <color indexed="43"/>
      <name val="Verdana"/>
      <family val="2"/>
    </font>
    <font>
      <b/>
      <sz val="12"/>
      <color indexed="43"/>
      <name val="Verdana"/>
      <family val="2"/>
    </font>
    <font>
      <b/>
      <sz val="12"/>
      <color indexed="9"/>
      <name val="Verdana"/>
      <family val="2"/>
    </font>
    <font>
      <b/>
      <sz val="12"/>
      <name val="Calisto MT"/>
      <family val="1"/>
    </font>
  </fonts>
  <fills count="9">
    <fill>
      <patternFill patternType="none"/>
    </fill>
    <fill>
      <patternFill patternType="gray125"/>
    </fill>
    <fill>
      <patternFill patternType="mediumGray">
        <fgColor indexed="47"/>
        <bgColor indexed="43"/>
      </patternFill>
    </fill>
    <fill>
      <patternFill patternType="mediumGray">
        <fgColor indexed="47"/>
        <bgColor indexed="50"/>
      </patternFill>
    </fill>
    <fill>
      <patternFill patternType="mediumGray">
        <fgColor indexed="47"/>
        <bgColor indexed="51"/>
      </patternFill>
    </fill>
    <fill>
      <patternFill patternType="mediumGray">
        <fgColor indexed="10"/>
        <bgColor indexed="37"/>
      </patternFill>
    </fill>
    <fill>
      <patternFill patternType="mediumGray">
        <fgColor indexed="26"/>
        <bgColor indexed="50"/>
      </patternFill>
    </fill>
    <fill>
      <patternFill patternType="mediumGray">
        <fgColor indexed="25"/>
        <bgColor indexed="10"/>
      </patternFill>
    </fill>
    <fill>
      <patternFill patternType="mediumGray">
        <fgColor indexed="9"/>
        <bgColor indexed="42"/>
      </patternFill>
    </fill>
  </fills>
  <borders count="17">
    <border>
      <left/>
      <right/>
      <top/>
      <bottom/>
      <diagonal/>
    </border>
    <border>
      <left style="thick">
        <color indexed="26"/>
      </left>
      <right style="hair">
        <color indexed="26"/>
      </right>
      <top style="thick">
        <color indexed="26"/>
      </top>
      <bottom style="hair">
        <color indexed="26"/>
      </bottom>
      <diagonal/>
    </border>
    <border>
      <left style="hair">
        <color indexed="26"/>
      </left>
      <right style="hair">
        <color indexed="26"/>
      </right>
      <top style="thick">
        <color indexed="26"/>
      </top>
      <bottom style="hair">
        <color indexed="26"/>
      </bottom>
      <diagonal/>
    </border>
    <border>
      <left style="hair">
        <color indexed="26"/>
      </left>
      <right style="thick">
        <color indexed="26"/>
      </right>
      <top style="thick">
        <color indexed="26"/>
      </top>
      <bottom style="hair">
        <color indexed="26"/>
      </bottom>
      <diagonal/>
    </border>
    <border>
      <left style="thick">
        <color indexed="26"/>
      </left>
      <right style="hair">
        <color indexed="26"/>
      </right>
      <top style="hair">
        <color indexed="26"/>
      </top>
      <bottom style="hair">
        <color indexed="26"/>
      </bottom>
      <diagonal/>
    </border>
    <border>
      <left style="hair">
        <color indexed="26"/>
      </left>
      <right style="hair">
        <color indexed="26"/>
      </right>
      <top style="hair">
        <color indexed="26"/>
      </top>
      <bottom style="hair">
        <color indexed="26"/>
      </bottom>
      <diagonal/>
    </border>
    <border>
      <left style="hair">
        <color indexed="26"/>
      </left>
      <right style="thick">
        <color indexed="26"/>
      </right>
      <top style="hair">
        <color indexed="26"/>
      </top>
      <bottom style="hair">
        <color indexed="26"/>
      </bottom>
      <diagonal/>
    </border>
    <border>
      <left style="thick">
        <color indexed="26"/>
      </left>
      <right style="hair">
        <color indexed="26"/>
      </right>
      <top style="hair">
        <color indexed="26"/>
      </top>
      <bottom style="thick">
        <color indexed="26"/>
      </bottom>
      <diagonal/>
    </border>
    <border>
      <left style="hair">
        <color indexed="26"/>
      </left>
      <right style="hair">
        <color indexed="26"/>
      </right>
      <top style="hair">
        <color indexed="26"/>
      </top>
      <bottom style="thick">
        <color indexed="26"/>
      </bottom>
      <diagonal/>
    </border>
    <border>
      <left style="hair">
        <color indexed="26"/>
      </left>
      <right style="thick">
        <color indexed="26"/>
      </right>
      <top style="hair">
        <color indexed="26"/>
      </top>
      <bottom style="thick">
        <color indexed="26"/>
      </bottom>
      <diagonal/>
    </border>
    <border>
      <left style="hair">
        <color indexed="26"/>
      </left>
      <right/>
      <top style="thick">
        <color indexed="26"/>
      </top>
      <bottom style="hair">
        <color indexed="26"/>
      </bottom>
      <diagonal/>
    </border>
    <border>
      <left style="hair">
        <color indexed="26"/>
      </left>
      <right/>
      <top style="hair">
        <color indexed="26"/>
      </top>
      <bottom style="hair">
        <color indexed="26"/>
      </bottom>
      <diagonal/>
    </border>
    <border>
      <left style="hair">
        <color indexed="26"/>
      </left>
      <right/>
      <top style="hair">
        <color indexed="26"/>
      </top>
      <bottom style="thick">
        <color indexed="26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  <diagonal/>
    </border>
    <border>
      <left style="thick">
        <color indexed="26"/>
      </left>
      <right style="hair">
        <color indexed="26"/>
      </right>
      <top style="thick">
        <color indexed="26"/>
      </top>
      <bottom style="thick">
        <color indexed="26"/>
      </bottom>
      <diagonal/>
    </border>
    <border>
      <left style="thick">
        <color indexed="26"/>
      </left>
      <right style="thick">
        <color indexed="9"/>
      </right>
      <top style="thick">
        <color indexed="26"/>
      </top>
      <bottom style="thick">
        <color indexed="26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3">
    <xf numFmtId="0" fontId="0" fillId="2" borderId="0"/>
    <xf numFmtId="44" fontId="1" fillId="0" borderId="0" applyFont="0" applyFill="0" applyBorder="0" applyAlignment="0" applyProtection="0"/>
    <xf numFmtId="164" fontId="6" fillId="2" borderId="1" applyBorder="0"/>
  </cellStyleXfs>
  <cellXfs count="68">
    <xf numFmtId="0" fontId="0" fillId="2" borderId="0" xfId="0"/>
    <xf numFmtId="0" fontId="2" fillId="2" borderId="0" xfId="0" applyFont="1" applyFill="1"/>
    <xf numFmtId="0" fontId="4" fillId="3" borderId="0" xfId="0" applyFont="1" applyFill="1"/>
    <xf numFmtId="164" fontId="0" fillId="2" borderId="0" xfId="0" applyNumberFormat="1"/>
    <xf numFmtId="0" fontId="5" fillId="2" borderId="0" xfId="0" applyFont="1" applyFill="1"/>
    <xf numFmtId="164" fontId="7" fillId="3" borderId="0" xfId="1" applyNumberFormat="1" applyFont="1" applyFill="1"/>
    <xf numFmtId="17" fontId="8" fillId="2" borderId="0" xfId="0" applyNumberFormat="1" applyFont="1" applyFill="1"/>
    <xf numFmtId="0" fontId="0" fillId="2" borderId="0" xfId="0" applyAlignment="1">
      <alignment wrapText="1"/>
    </xf>
    <xf numFmtId="0" fontId="9" fillId="2" borderId="0" xfId="0" applyFont="1" applyFill="1"/>
    <xf numFmtId="0" fontId="4" fillId="3" borderId="0" xfId="0" applyFont="1" applyFill="1" applyAlignment="1">
      <alignment wrapText="1"/>
    </xf>
    <xf numFmtId="0" fontId="7" fillId="3" borderId="0" xfId="0" applyFont="1" applyFill="1" applyAlignment="1">
      <alignment horizontal="center" textRotation="90" wrapText="1"/>
    </xf>
    <xf numFmtId="16" fontId="7" fillId="3" borderId="0" xfId="0" applyNumberFormat="1" applyFont="1" applyFill="1" applyAlignment="1">
      <alignment horizontal="center" textRotation="90" wrapText="1"/>
    </xf>
    <xf numFmtId="0" fontId="3" fillId="4" borderId="0" xfId="0" applyFont="1" applyFill="1" applyAlignment="1">
      <alignment horizontal="right" indent="3"/>
    </xf>
    <xf numFmtId="44" fontId="6" fillId="2" borderId="1" xfId="1" applyFont="1" applyFill="1" applyBorder="1"/>
    <xf numFmtId="44" fontId="6" fillId="2" borderId="2" xfId="1" applyFont="1" applyFill="1" applyBorder="1"/>
    <xf numFmtId="44" fontId="9" fillId="2" borderId="2" xfId="1" applyFont="1" applyFill="1" applyBorder="1"/>
    <xf numFmtId="44" fontId="0" fillId="2" borderId="2" xfId="1" applyFont="1" applyFill="1" applyBorder="1"/>
    <xf numFmtId="44" fontId="0" fillId="2" borderId="3" xfId="1" applyFont="1" applyFill="1" applyBorder="1"/>
    <xf numFmtId="44" fontId="6" fillId="2" borderId="4" xfId="1" applyFont="1" applyFill="1" applyBorder="1"/>
    <xf numFmtId="44" fontId="6" fillId="2" borderId="5" xfId="1" applyFont="1" applyFill="1" applyBorder="1"/>
    <xf numFmtId="44" fontId="9" fillId="2" borderId="5" xfId="1" applyFont="1" applyFill="1" applyBorder="1"/>
    <xf numFmtId="44" fontId="0" fillId="2" borderId="5" xfId="1" applyFont="1" applyFill="1" applyBorder="1"/>
    <xf numFmtId="44" fontId="0" fillId="2" borderId="6" xfId="1" applyFont="1" applyFill="1" applyBorder="1"/>
    <xf numFmtId="44" fontId="6" fillId="2" borderId="7" xfId="1" applyFont="1" applyFill="1" applyBorder="1"/>
    <xf numFmtId="44" fontId="6" fillId="2" borderId="8" xfId="1" applyFont="1" applyFill="1" applyBorder="1"/>
    <xf numFmtId="44" fontId="9" fillId="2" borderId="8" xfId="1" applyFont="1" applyFill="1" applyBorder="1"/>
    <xf numFmtId="44" fontId="0" fillId="2" borderId="8" xfId="1" applyFont="1" applyFill="1" applyBorder="1"/>
    <xf numFmtId="44" fontId="0" fillId="2" borderId="9" xfId="1" applyFont="1" applyFill="1" applyBorder="1"/>
    <xf numFmtId="0" fontId="11" fillId="5" borderId="0" xfId="0" applyFont="1" applyFill="1"/>
    <xf numFmtId="0" fontId="0" fillId="6" borderId="0" xfId="0" applyFill="1" applyAlignment="1">
      <alignment wrapText="1"/>
    </xf>
    <xf numFmtId="0" fontId="13" fillId="7" borderId="0" xfId="0" applyFont="1" applyFill="1" applyAlignment="1">
      <alignment horizontal="center"/>
    </xf>
    <xf numFmtId="44" fontId="0" fillId="2" borderId="13" xfId="1" applyFont="1" applyFill="1" applyBorder="1"/>
    <xf numFmtId="44" fontId="6" fillId="2" borderId="14" xfId="1" applyFont="1" applyFill="1" applyBorder="1"/>
    <xf numFmtId="44" fontId="6" fillId="2" borderId="15" xfId="1" applyFont="1" applyFill="1" applyBorder="1"/>
    <xf numFmtId="44" fontId="0" fillId="2" borderId="16" xfId="1" applyFont="1" applyFill="1" applyBorder="1"/>
    <xf numFmtId="44" fontId="14" fillId="6" borderId="0" xfId="0" applyNumberFormat="1" applyFont="1" applyFill="1" applyAlignment="1">
      <alignment wrapText="1"/>
    </xf>
    <xf numFmtId="0" fontId="0" fillId="6" borderId="0" xfId="0" applyFill="1" applyAlignment="1"/>
    <xf numFmtId="0" fontId="10" fillId="6" borderId="0" xfId="0" applyFont="1" applyFill="1" applyAlignment="1">
      <alignment horizontal="right"/>
    </xf>
    <xf numFmtId="44" fontId="0" fillId="8" borderId="0" xfId="0" applyNumberFormat="1" applyFill="1"/>
    <xf numFmtId="44" fontId="14" fillId="8" borderId="0" xfId="0" applyNumberFormat="1" applyFont="1" applyFill="1"/>
    <xf numFmtId="44" fontId="0" fillId="2" borderId="0" xfId="1" applyFont="1" applyFill="1"/>
    <xf numFmtId="44" fontId="9" fillId="2" borderId="0" xfId="1" applyFont="1" applyFill="1"/>
    <xf numFmtId="44" fontId="9" fillId="2" borderId="13" xfId="1" applyFont="1" applyFill="1" applyBorder="1"/>
    <xf numFmtId="44" fontId="9" fillId="2" borderId="16" xfId="1" applyFont="1" applyFill="1" applyBorder="1"/>
    <xf numFmtId="0" fontId="1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1" xfId="1" applyNumberFormat="1" applyFont="1" applyFill="1" applyBorder="1"/>
    <xf numFmtId="0" fontId="6" fillId="2" borderId="2" xfId="1" applyNumberFormat="1" applyFont="1" applyFill="1" applyBorder="1"/>
    <xf numFmtId="0" fontId="9" fillId="2" borderId="2" xfId="1" applyNumberFormat="1" applyFont="1" applyFill="1" applyBorder="1"/>
    <xf numFmtId="0" fontId="0" fillId="2" borderId="2" xfId="1" applyNumberFormat="1" applyFont="1" applyFill="1" applyBorder="1"/>
    <xf numFmtId="0" fontId="0" fillId="2" borderId="10" xfId="1" applyNumberFormat="1" applyFont="1" applyFill="1" applyBorder="1"/>
    <xf numFmtId="0" fontId="0" fillId="2" borderId="13" xfId="1" applyNumberFormat="1" applyFont="1" applyFill="1" applyBorder="1"/>
    <xf numFmtId="0" fontId="6" fillId="2" borderId="4" xfId="1" applyNumberFormat="1" applyFont="1" applyFill="1" applyBorder="1"/>
    <xf numFmtId="0" fontId="6" fillId="2" borderId="5" xfId="1" applyNumberFormat="1" applyFont="1" applyFill="1" applyBorder="1"/>
    <xf numFmtId="0" fontId="9" fillId="2" borderId="5" xfId="1" applyNumberFormat="1" applyFont="1" applyFill="1" applyBorder="1"/>
    <xf numFmtId="0" fontId="0" fillId="2" borderId="5" xfId="1" applyNumberFormat="1" applyFont="1" applyFill="1" applyBorder="1"/>
    <xf numFmtId="0" fontId="0" fillId="2" borderId="11" xfId="1" applyNumberFormat="1" applyFont="1" applyFill="1" applyBorder="1"/>
    <xf numFmtId="0" fontId="6" fillId="2" borderId="7" xfId="1" applyNumberFormat="1" applyFont="1" applyFill="1" applyBorder="1"/>
    <xf numFmtId="0" fontId="6" fillId="2" borderId="8" xfId="1" applyNumberFormat="1" applyFont="1" applyFill="1" applyBorder="1"/>
    <xf numFmtId="0" fontId="9" fillId="2" borderId="8" xfId="1" applyNumberFormat="1" applyFont="1" applyFill="1" applyBorder="1"/>
    <xf numFmtId="0" fontId="0" fillId="2" borderId="8" xfId="1" applyNumberFormat="1" applyFont="1" applyFill="1" applyBorder="1"/>
    <xf numFmtId="0" fontId="0" fillId="2" borderId="12" xfId="1" applyNumberFormat="1" applyFont="1" applyFill="1" applyBorder="1"/>
    <xf numFmtId="0" fontId="0" fillId="2" borderId="16" xfId="1" applyNumberFormat="1" applyFont="1" applyFill="1" applyBorder="1"/>
    <xf numFmtId="0" fontId="9" fillId="2" borderId="10" xfId="1" applyNumberFormat="1" applyFont="1" applyFill="1" applyBorder="1"/>
    <xf numFmtId="0" fontId="9" fillId="2" borderId="13" xfId="1" applyNumberFormat="1" applyFont="1" applyFill="1" applyBorder="1"/>
    <xf numFmtId="0" fontId="9" fillId="2" borderId="11" xfId="1" applyNumberFormat="1" applyFont="1" applyFill="1" applyBorder="1"/>
    <xf numFmtId="0" fontId="9" fillId="2" borderId="12" xfId="1" applyNumberFormat="1" applyFont="1" applyFill="1" applyBorder="1"/>
    <xf numFmtId="0" fontId="9" fillId="2" borderId="16" xfId="1" applyNumberFormat="1" applyFont="1" applyFill="1" applyBorder="1"/>
  </cellXfs>
  <cellStyles count="3">
    <cellStyle name="Currency" xfId="1" builtinId="4"/>
    <cellStyle name="Normal" xfId="0" builtinId="0"/>
    <cellStyle name="Tab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2941320</xdr:colOff>
      <xdr:row>3</xdr:row>
      <xdr:rowOff>175260</xdr:rowOff>
    </xdr:to>
    <xdr:pic>
      <xdr:nvPicPr>
        <xdr:cNvPr id="1025" name="Picture 1" descr="holy habane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41320" cy="10134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2941320</xdr:colOff>
      <xdr:row>3</xdr:row>
      <xdr:rowOff>175260</xdr:rowOff>
    </xdr:to>
    <xdr:pic>
      <xdr:nvPicPr>
        <xdr:cNvPr id="7169" name="Picture 1" descr="holy habane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41320" cy="10134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2941320</xdr:colOff>
      <xdr:row>3</xdr:row>
      <xdr:rowOff>175260</xdr:rowOff>
    </xdr:to>
    <xdr:pic>
      <xdr:nvPicPr>
        <xdr:cNvPr id="8193" name="Picture 1" descr="holy habane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41320" cy="101346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2941320</xdr:colOff>
      <xdr:row>3</xdr:row>
      <xdr:rowOff>175260</xdr:rowOff>
    </xdr:to>
    <xdr:pic>
      <xdr:nvPicPr>
        <xdr:cNvPr id="6145" name="Picture 1025" descr="holy habane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41320" cy="10134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0" zoomScaleNormal="80" workbookViewId="0">
      <selection activeCell="B8" sqref="B8:J16"/>
    </sheetView>
  </sheetViews>
  <sheetFormatPr defaultRowHeight="15.6"/>
  <cols>
    <col min="1" max="1" width="39.296875" customWidth="1"/>
    <col min="2" max="9" width="10.69921875" customWidth="1"/>
    <col min="10" max="10" width="13.19921875" customWidth="1"/>
  </cols>
  <sheetData>
    <row r="1" spans="1:10">
      <c r="A1" s="1"/>
      <c r="D1" s="8"/>
      <c r="E1" s="8"/>
    </row>
    <row r="2" spans="1:10">
      <c r="A2" s="1"/>
      <c r="D2" s="8"/>
      <c r="E2" s="8"/>
    </row>
    <row r="3" spans="1:10" ht="32.4">
      <c r="A3" s="1"/>
      <c r="B3" s="4" t="s">
        <v>10</v>
      </c>
      <c r="E3" s="1"/>
    </row>
    <row r="4" spans="1:10" ht="17.399999999999999">
      <c r="A4" s="1"/>
      <c r="B4" s="6">
        <v>41275</v>
      </c>
      <c r="E4" s="1"/>
      <c r="F4" s="40"/>
    </row>
    <row r="5" spans="1:10">
      <c r="A5" s="1"/>
      <c r="B5" s="1"/>
      <c r="C5" s="1"/>
      <c r="D5" s="1"/>
      <c r="E5" s="1"/>
    </row>
    <row r="6" spans="1:10" ht="16.2">
      <c r="A6" s="28"/>
      <c r="B6" s="44" t="s">
        <v>18</v>
      </c>
      <c r="C6" s="44"/>
      <c r="D6" s="44"/>
      <c r="E6" s="44"/>
      <c r="F6" s="44" t="s">
        <v>19</v>
      </c>
      <c r="G6" s="45"/>
      <c r="H6" s="45"/>
      <c r="I6" s="45"/>
      <c r="J6" s="30" t="s">
        <v>23</v>
      </c>
    </row>
    <row r="7" spans="1:10" s="7" customFormat="1" ht="76.2" customHeight="1" thickBot="1">
      <c r="A7" s="9" t="s">
        <v>15</v>
      </c>
      <c r="B7" s="10" t="s">
        <v>12</v>
      </c>
      <c r="C7" s="10" t="s">
        <v>14</v>
      </c>
      <c r="D7" s="10" t="s">
        <v>11</v>
      </c>
      <c r="E7" s="10" t="s">
        <v>13</v>
      </c>
      <c r="F7" s="11" t="s">
        <v>22</v>
      </c>
      <c r="G7" s="10" t="s">
        <v>20</v>
      </c>
      <c r="H7" s="10" t="s">
        <v>21</v>
      </c>
      <c r="I7" s="10" t="s">
        <v>17</v>
      </c>
      <c r="J7" s="29"/>
    </row>
    <row r="8" spans="1:10" ht="16.8" thickTop="1" thickBot="1">
      <c r="A8" s="12" t="s">
        <v>1</v>
      </c>
      <c r="B8" s="46">
        <v>98</v>
      </c>
      <c r="C8" s="47">
        <v>65</v>
      </c>
      <c r="D8" s="47">
        <v>105</v>
      </c>
      <c r="E8" s="47">
        <v>112</v>
      </c>
      <c r="F8" s="48">
        <v>132</v>
      </c>
      <c r="G8" s="48">
        <v>240</v>
      </c>
      <c r="H8" s="49">
        <f>32*21</f>
        <v>672</v>
      </c>
      <c r="I8" s="50">
        <f>16*40</f>
        <v>640</v>
      </c>
      <c r="J8" s="51">
        <f>SUM(B8:I8)</f>
        <v>2064</v>
      </c>
    </row>
    <row r="9" spans="1:10" ht="16.8" thickTop="1" thickBot="1">
      <c r="A9" s="12" t="s">
        <v>2</v>
      </c>
      <c r="B9" s="52">
        <v>105</v>
      </c>
      <c r="C9" s="53">
        <v>50</v>
      </c>
      <c r="D9" s="53">
        <v>31</v>
      </c>
      <c r="E9" s="53">
        <v>194</v>
      </c>
      <c r="F9" s="54">
        <v>98</v>
      </c>
      <c r="G9" s="54">
        <v>169</v>
      </c>
      <c r="H9" s="55">
        <f>32*22</f>
        <v>704</v>
      </c>
      <c r="I9" s="56">
        <f>16*46</f>
        <v>736</v>
      </c>
      <c r="J9" s="51">
        <f t="shared" ref="J9:J16" si="0">SUM(B9:I9)</f>
        <v>2087</v>
      </c>
    </row>
    <row r="10" spans="1:10" ht="16.8" thickTop="1" thickBot="1">
      <c r="A10" s="12" t="s">
        <v>3</v>
      </c>
      <c r="B10" s="52">
        <v>91</v>
      </c>
      <c r="C10" s="53">
        <v>46</v>
      </c>
      <c r="D10" s="53">
        <v>204</v>
      </c>
      <c r="E10" s="53">
        <v>332</v>
      </c>
      <c r="F10" s="54">
        <v>291</v>
      </c>
      <c r="G10" s="54">
        <v>594</v>
      </c>
      <c r="H10" s="55">
        <f>32*45</f>
        <v>1440</v>
      </c>
      <c r="I10" s="56">
        <f>16*80</f>
        <v>1280</v>
      </c>
      <c r="J10" s="51">
        <f t="shared" si="0"/>
        <v>4278</v>
      </c>
    </row>
    <row r="11" spans="1:10" ht="16.8" thickTop="1" thickBot="1">
      <c r="A11" s="12" t="s">
        <v>4</v>
      </c>
      <c r="B11" s="52">
        <v>515</v>
      </c>
      <c r="C11" s="53">
        <v>614</v>
      </c>
      <c r="D11" s="53">
        <v>625</v>
      </c>
      <c r="E11" s="53">
        <v>904</v>
      </c>
      <c r="F11" s="54">
        <v>234</v>
      </c>
      <c r="G11" s="54">
        <v>1021</v>
      </c>
      <c r="H11" s="55">
        <f>32*46</f>
        <v>1472</v>
      </c>
      <c r="I11" s="56">
        <f>16*104</f>
        <v>1664</v>
      </c>
      <c r="J11" s="51">
        <f t="shared" si="0"/>
        <v>7049</v>
      </c>
    </row>
    <row r="12" spans="1:10" ht="16.8" thickTop="1" thickBot="1">
      <c r="A12" s="12" t="s">
        <v>5</v>
      </c>
      <c r="B12" s="52">
        <v>348</v>
      </c>
      <c r="C12" s="53">
        <v>393</v>
      </c>
      <c r="D12" s="53">
        <v>404</v>
      </c>
      <c r="E12" s="53">
        <v>520</v>
      </c>
      <c r="F12" s="54">
        <v>594</v>
      </c>
      <c r="G12" s="54">
        <v>912</v>
      </c>
      <c r="H12" s="55">
        <f>32*29</f>
        <v>928</v>
      </c>
      <c r="I12" s="56">
        <f>16*52</f>
        <v>832</v>
      </c>
      <c r="J12" s="51">
        <f t="shared" si="0"/>
        <v>4931</v>
      </c>
    </row>
    <row r="13" spans="1:10" ht="16.8" thickTop="1" thickBot="1">
      <c r="A13" s="12" t="s">
        <v>6</v>
      </c>
      <c r="B13" s="52">
        <v>94</v>
      </c>
      <c r="C13" s="53">
        <v>150</v>
      </c>
      <c r="D13" s="53">
        <v>261</v>
      </c>
      <c r="E13" s="53">
        <v>454</v>
      </c>
      <c r="F13" s="54">
        <v>661</v>
      </c>
      <c r="G13" s="54">
        <v>814</v>
      </c>
      <c r="H13" s="55">
        <f>32*41</f>
        <v>1312</v>
      </c>
      <c r="I13" s="56">
        <f>16*57</f>
        <v>912</v>
      </c>
      <c r="J13" s="51">
        <f t="shared" si="0"/>
        <v>4658</v>
      </c>
    </row>
    <row r="14" spans="1:10" ht="16.8" thickTop="1" thickBot="1">
      <c r="A14" s="12" t="s">
        <v>7</v>
      </c>
      <c r="B14" s="52">
        <v>79</v>
      </c>
      <c r="C14" s="53">
        <v>104</v>
      </c>
      <c r="D14" s="53">
        <v>162</v>
      </c>
      <c r="E14" s="53">
        <v>74</v>
      </c>
      <c r="F14" s="54">
        <v>192</v>
      </c>
      <c r="G14" s="54">
        <v>513</v>
      </c>
      <c r="H14" s="55">
        <f>32*15</f>
        <v>480</v>
      </c>
      <c r="I14" s="56">
        <f>16*9</f>
        <v>144</v>
      </c>
      <c r="J14" s="51">
        <f t="shared" si="0"/>
        <v>1748</v>
      </c>
    </row>
    <row r="15" spans="1:10" ht="16.8" thickTop="1" thickBot="1">
      <c r="A15" s="12" t="s">
        <v>8</v>
      </c>
      <c r="B15" s="52">
        <v>84</v>
      </c>
      <c r="C15" s="53">
        <v>68</v>
      </c>
      <c r="D15" s="53">
        <v>87</v>
      </c>
      <c r="E15" s="53">
        <v>63</v>
      </c>
      <c r="F15" s="54">
        <v>87</v>
      </c>
      <c r="G15" s="54">
        <v>632</v>
      </c>
      <c r="H15" s="55">
        <f>32*21</f>
        <v>672</v>
      </c>
      <c r="I15" s="56">
        <f>16*11</f>
        <v>176</v>
      </c>
      <c r="J15" s="51">
        <f t="shared" si="0"/>
        <v>1869</v>
      </c>
    </row>
    <row r="16" spans="1:10" ht="16.8" thickTop="1" thickBot="1">
      <c r="A16" s="12" t="s">
        <v>9</v>
      </c>
      <c r="B16" s="57">
        <v>61</v>
      </c>
      <c r="C16" s="58">
        <v>145</v>
      </c>
      <c r="D16" s="58">
        <v>32</v>
      </c>
      <c r="E16" s="58">
        <v>45</v>
      </c>
      <c r="F16" s="59">
        <v>94</v>
      </c>
      <c r="G16" s="59">
        <v>367</v>
      </c>
      <c r="H16" s="60">
        <v>0</v>
      </c>
      <c r="I16" s="61">
        <v>0</v>
      </c>
      <c r="J16" s="62">
        <f t="shared" si="0"/>
        <v>744</v>
      </c>
    </row>
    <row r="17" spans="1:10" ht="16.2" thickTop="1">
      <c r="A17" s="2"/>
      <c r="B17" s="5"/>
      <c r="C17" s="5"/>
      <c r="D17" s="5"/>
      <c r="E17" s="5"/>
      <c r="F17" s="5"/>
      <c r="G17" s="5"/>
      <c r="H17" s="5"/>
      <c r="I17" s="5"/>
      <c r="J17" s="29"/>
    </row>
    <row r="18" spans="1:10" ht="76.2" thickBot="1">
      <c r="A18" s="9" t="s">
        <v>24</v>
      </c>
      <c r="B18" s="10" t="s">
        <v>12</v>
      </c>
      <c r="C18" s="10" t="s">
        <v>14</v>
      </c>
      <c r="D18" s="10" t="s">
        <v>11</v>
      </c>
      <c r="E18" s="10" t="s">
        <v>13</v>
      </c>
      <c r="F18" s="11" t="s">
        <v>22</v>
      </c>
      <c r="G18" s="10" t="s">
        <v>20</v>
      </c>
      <c r="H18" s="10" t="s">
        <v>21</v>
      </c>
      <c r="I18" s="10" t="s">
        <v>17</v>
      </c>
      <c r="J18" s="29"/>
    </row>
    <row r="19" spans="1:10" ht="16.8" thickTop="1" thickBot="1">
      <c r="A19" s="12" t="s">
        <v>1</v>
      </c>
      <c r="B19" s="13">
        <f>B8*'Unit prices'!B8</f>
        <v>681.1</v>
      </c>
      <c r="C19" s="13">
        <f>C8*'Unit prices'!C8</f>
        <v>451.75</v>
      </c>
      <c r="D19" s="13">
        <f>D8*'Unit prices'!D8</f>
        <v>834.75</v>
      </c>
      <c r="E19" s="13">
        <f>E8*'Unit prices'!E8</f>
        <v>890.4</v>
      </c>
      <c r="F19" s="13">
        <f>F8*'Unit prices'!F8</f>
        <v>462</v>
      </c>
      <c r="G19" s="13">
        <f>G8*'Unit prices'!G8</f>
        <v>1140</v>
      </c>
      <c r="H19" s="13">
        <f>H8*'Unit prices'!H8</f>
        <v>2856</v>
      </c>
      <c r="I19" s="13">
        <f>I8*'Unit prices'!I8</f>
        <v>2560</v>
      </c>
      <c r="J19" s="31">
        <f>SUM(B19:I19)</f>
        <v>9876</v>
      </c>
    </row>
    <row r="20" spans="1:10" ht="16.8" thickTop="1" thickBot="1">
      <c r="A20" s="12" t="s">
        <v>2</v>
      </c>
      <c r="B20" s="13">
        <f>B9*'Unit prices'!B9</f>
        <v>729.75</v>
      </c>
      <c r="C20" s="13">
        <f>C9*'Unit prices'!C9</f>
        <v>347.5</v>
      </c>
      <c r="D20" s="13">
        <f>D9*'Unit prices'!D9</f>
        <v>246.45000000000002</v>
      </c>
      <c r="E20" s="13">
        <f>E9*'Unit prices'!E9</f>
        <v>1542.3</v>
      </c>
      <c r="F20" s="13">
        <f>F9*'Unit prices'!F9</f>
        <v>343</v>
      </c>
      <c r="G20" s="13">
        <f>G9*'Unit prices'!G9</f>
        <v>802.75</v>
      </c>
      <c r="H20" s="13">
        <f>H9*'Unit prices'!H9</f>
        <v>2992</v>
      </c>
      <c r="I20" s="13">
        <f>I9*'Unit prices'!I9</f>
        <v>2944</v>
      </c>
      <c r="J20" s="31">
        <f t="shared" ref="J20:J27" si="1">SUM(B20:I20)</f>
        <v>9947.75</v>
      </c>
    </row>
    <row r="21" spans="1:10" ht="16.8" thickTop="1" thickBot="1">
      <c r="A21" s="12" t="s">
        <v>3</v>
      </c>
      <c r="B21" s="13">
        <f>B10*'Unit prices'!B10</f>
        <v>632.45000000000005</v>
      </c>
      <c r="C21" s="13">
        <f>C10*'Unit prices'!C10</f>
        <v>319.7</v>
      </c>
      <c r="D21" s="13">
        <f>D10*'Unit prices'!D10</f>
        <v>1621.8</v>
      </c>
      <c r="E21" s="13">
        <f>E10*'Unit prices'!E10</f>
        <v>2639.4</v>
      </c>
      <c r="F21" s="13">
        <f>F10*'Unit prices'!F10</f>
        <v>1018.5</v>
      </c>
      <c r="G21" s="13">
        <f>G10*'Unit prices'!G10</f>
        <v>2821.5</v>
      </c>
      <c r="H21" s="13">
        <f>H10*'Unit prices'!H10</f>
        <v>6120</v>
      </c>
      <c r="I21" s="13">
        <f>I10*'Unit prices'!I10</f>
        <v>5120</v>
      </c>
      <c r="J21" s="31">
        <f t="shared" si="1"/>
        <v>20293.349999999999</v>
      </c>
    </row>
    <row r="22" spans="1:10" ht="16.8" thickTop="1" thickBot="1">
      <c r="A22" s="12" t="s">
        <v>4</v>
      </c>
      <c r="B22" s="13">
        <f>B11*'Unit prices'!B11</f>
        <v>3579.25</v>
      </c>
      <c r="C22" s="13">
        <f>C11*'Unit prices'!C11</f>
        <v>4267.3</v>
      </c>
      <c r="D22" s="13">
        <f>D11*'Unit prices'!D11</f>
        <v>4968.75</v>
      </c>
      <c r="E22" s="13">
        <f>E11*'Unit prices'!E11</f>
        <v>7186.8</v>
      </c>
      <c r="F22" s="13">
        <f>F11*'Unit prices'!F11</f>
        <v>819</v>
      </c>
      <c r="G22" s="13">
        <f>G11*'Unit prices'!G11</f>
        <v>4849.75</v>
      </c>
      <c r="H22" s="13">
        <f>H11*'Unit prices'!H11</f>
        <v>6256</v>
      </c>
      <c r="I22" s="13">
        <f>I11*'Unit prices'!I11</f>
        <v>6656</v>
      </c>
      <c r="J22" s="31">
        <f t="shared" si="1"/>
        <v>38582.85</v>
      </c>
    </row>
    <row r="23" spans="1:10" ht="16.8" thickTop="1" thickBot="1">
      <c r="A23" s="12" t="s">
        <v>5</v>
      </c>
      <c r="B23" s="13">
        <f>B12*'Unit prices'!B12</f>
        <v>3114.6</v>
      </c>
      <c r="C23" s="13">
        <f>C12*'Unit prices'!C12</f>
        <v>3517.35</v>
      </c>
      <c r="D23" s="13">
        <f>D12*'Unit prices'!D12</f>
        <v>4019.7999999999997</v>
      </c>
      <c r="E23" s="13">
        <f>E12*'Unit prices'!E12</f>
        <v>5174</v>
      </c>
      <c r="F23" s="13">
        <f>F12*'Unit prices'!F12</f>
        <v>2821.5</v>
      </c>
      <c r="G23" s="13">
        <f>G12*'Unit prices'!G12</f>
        <v>4788</v>
      </c>
      <c r="H23" s="13">
        <f>H12*'Unit prices'!H12</f>
        <v>4872</v>
      </c>
      <c r="I23" s="13">
        <f>I12*'Unit prices'!I12</f>
        <v>4160</v>
      </c>
      <c r="J23" s="31">
        <f t="shared" si="1"/>
        <v>32467.25</v>
      </c>
    </row>
    <row r="24" spans="1:10" ht="16.8" thickTop="1" thickBot="1">
      <c r="A24" s="12" t="s">
        <v>6</v>
      </c>
      <c r="B24" s="13">
        <f>B13*'Unit prices'!B13</f>
        <v>841.3</v>
      </c>
      <c r="C24" s="13">
        <f>C13*'Unit prices'!C13</f>
        <v>1342.5</v>
      </c>
      <c r="D24" s="13">
        <f>D13*'Unit prices'!D13</f>
        <v>2596.9499999999998</v>
      </c>
      <c r="E24" s="13">
        <f>E13*'Unit prices'!E13</f>
        <v>4517.2999999999993</v>
      </c>
      <c r="F24" s="13">
        <f>F13*'Unit prices'!F13</f>
        <v>3139.75</v>
      </c>
      <c r="G24" s="13">
        <f>G13*'Unit prices'!G13</f>
        <v>4273.5</v>
      </c>
      <c r="H24" s="13">
        <f>H13*'Unit prices'!H13</f>
        <v>6888</v>
      </c>
      <c r="I24" s="13">
        <f>I13*'Unit prices'!I13</f>
        <v>4560</v>
      </c>
      <c r="J24" s="31">
        <f t="shared" si="1"/>
        <v>28159.3</v>
      </c>
    </row>
    <row r="25" spans="1:10" ht="16.8" thickTop="1" thickBot="1">
      <c r="A25" s="12" t="s">
        <v>7</v>
      </c>
      <c r="B25" s="13">
        <f>B14*'Unit prices'!B14</f>
        <v>707.05</v>
      </c>
      <c r="C25" s="13">
        <f>C14*'Unit prices'!C14</f>
        <v>930.8</v>
      </c>
      <c r="D25" s="13">
        <f>D14*'Unit prices'!D14</f>
        <v>1611.8999999999999</v>
      </c>
      <c r="E25" s="13">
        <f>E14*'Unit prices'!E14</f>
        <v>736.3</v>
      </c>
      <c r="F25" s="13">
        <f>F14*'Unit prices'!F14</f>
        <v>912</v>
      </c>
      <c r="G25" s="13">
        <f>G14*'Unit prices'!G14</f>
        <v>2693.25</v>
      </c>
      <c r="H25" s="13">
        <f>H14*'Unit prices'!H14</f>
        <v>2520</v>
      </c>
      <c r="I25" s="13">
        <f>I14*'Unit prices'!I14</f>
        <v>720</v>
      </c>
      <c r="J25" s="31">
        <f t="shared" si="1"/>
        <v>10831.3</v>
      </c>
    </row>
    <row r="26" spans="1:10" ht="16.8" thickTop="1" thickBot="1">
      <c r="A26" s="12" t="s">
        <v>8</v>
      </c>
      <c r="B26" s="13">
        <f>B15*'Unit prices'!B15</f>
        <v>499.8</v>
      </c>
      <c r="C26" s="13">
        <f>C15*'Unit prices'!C15</f>
        <v>404.6</v>
      </c>
      <c r="D26" s="13">
        <f>D15*'Unit prices'!D15</f>
        <v>604.65</v>
      </c>
      <c r="E26" s="13">
        <f>E15*'Unit prices'!E15</f>
        <v>437.85</v>
      </c>
      <c r="F26" s="13">
        <f>F15*'Unit prices'!F15</f>
        <v>256.65000000000003</v>
      </c>
      <c r="G26" s="13">
        <f>G15*'Unit prices'!G15</f>
        <v>2054</v>
      </c>
      <c r="H26" s="13">
        <f>H15*'Unit prices'!H15</f>
        <v>2520</v>
      </c>
      <c r="I26" s="13">
        <f>I15*'Unit prices'!I15</f>
        <v>528</v>
      </c>
      <c r="J26" s="31">
        <f t="shared" si="1"/>
        <v>7305.55</v>
      </c>
    </row>
    <row r="27" spans="1:10" ht="16.8" thickTop="1" thickBot="1">
      <c r="A27" s="12" t="s">
        <v>9</v>
      </c>
      <c r="B27" s="32">
        <f>B16*'Unit prices'!B16</f>
        <v>362.95</v>
      </c>
      <c r="C27" s="32">
        <f>C16*'Unit prices'!C16</f>
        <v>862.75</v>
      </c>
      <c r="D27" s="32">
        <f>D16*'Unit prices'!D16</f>
        <v>222.4</v>
      </c>
      <c r="E27" s="32">
        <f>E16*'Unit prices'!E16</f>
        <v>312.75</v>
      </c>
      <c r="F27" s="32">
        <f>F16*'Unit prices'!F16</f>
        <v>277.3</v>
      </c>
      <c r="G27" s="32">
        <f>G16*'Unit prices'!G16</f>
        <v>1192.75</v>
      </c>
      <c r="H27" s="32">
        <f>H16*'Unit prices'!H16</f>
        <v>0</v>
      </c>
      <c r="I27" s="33">
        <f>I16*'Unit prices'!I16</f>
        <v>0</v>
      </c>
      <c r="J27" s="34">
        <f t="shared" si="1"/>
        <v>3230.9</v>
      </c>
    </row>
    <row r="28" spans="1:10" ht="16.2" thickTop="1">
      <c r="A28" s="2"/>
      <c r="B28" s="5"/>
      <c r="C28" s="5"/>
      <c r="D28" s="5"/>
      <c r="E28" s="5"/>
      <c r="F28" s="5"/>
      <c r="G28" s="5"/>
      <c r="H28" s="5"/>
      <c r="I28" s="5"/>
      <c r="J28" s="35">
        <f>SUM(J19:J27)</f>
        <v>160694.24999999997</v>
      </c>
    </row>
    <row r="29" spans="1:10" ht="16.2">
      <c r="A29" s="36"/>
      <c r="B29" s="36"/>
      <c r="C29" s="36"/>
      <c r="D29" s="36"/>
      <c r="E29" s="36"/>
      <c r="F29" s="36"/>
      <c r="G29" s="36"/>
      <c r="H29" s="36"/>
      <c r="I29" s="37" t="s">
        <v>25</v>
      </c>
      <c r="J29" s="38">
        <v>11841.25</v>
      </c>
    </row>
    <row r="30" spans="1:10" ht="16.2">
      <c r="A30" s="36"/>
      <c r="B30" s="36"/>
      <c r="C30" s="36"/>
      <c r="D30" s="36"/>
      <c r="E30" s="36"/>
      <c r="F30" s="36"/>
      <c r="G30" s="36"/>
      <c r="H30" s="36"/>
      <c r="I30" s="37" t="s">
        <v>26</v>
      </c>
      <c r="J30" s="39">
        <f>J28-J29</f>
        <v>148852.99999999997</v>
      </c>
    </row>
  </sheetData>
  <mergeCells count="2">
    <mergeCell ref="B6:E6"/>
    <mergeCell ref="F6:I6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0" zoomScaleNormal="80" workbookViewId="0">
      <selection activeCell="B8" sqref="B8:J16"/>
    </sheetView>
  </sheetViews>
  <sheetFormatPr defaultRowHeight="15.6"/>
  <cols>
    <col min="1" max="1" width="39.296875" customWidth="1"/>
    <col min="2" max="9" width="10.69921875" customWidth="1"/>
    <col min="10" max="10" width="13.19921875" customWidth="1"/>
  </cols>
  <sheetData>
    <row r="1" spans="1:10">
      <c r="A1" s="1"/>
      <c r="D1" s="8"/>
      <c r="E1" s="8"/>
    </row>
    <row r="2" spans="1:10">
      <c r="A2" s="1"/>
      <c r="D2" s="8"/>
      <c r="E2" s="8"/>
    </row>
    <row r="3" spans="1:10" ht="32.4">
      <c r="A3" s="1"/>
      <c r="B3" s="4" t="s">
        <v>10</v>
      </c>
      <c r="E3" s="1"/>
    </row>
    <row r="4" spans="1:10" ht="17.399999999999999">
      <c r="A4" s="1"/>
      <c r="B4" s="6">
        <v>41306</v>
      </c>
      <c r="E4" s="1"/>
      <c r="F4" s="41"/>
    </row>
    <row r="5" spans="1:10">
      <c r="A5" s="1"/>
      <c r="B5" s="1"/>
      <c r="C5" s="1"/>
      <c r="D5" s="1"/>
      <c r="E5" s="1"/>
    </row>
    <row r="6" spans="1:10" ht="16.2">
      <c r="A6" s="28"/>
      <c r="B6" s="44" t="s">
        <v>18</v>
      </c>
      <c r="C6" s="44"/>
      <c r="D6" s="44"/>
      <c r="E6" s="44"/>
      <c r="F6" s="44" t="s">
        <v>19</v>
      </c>
      <c r="G6" s="45"/>
      <c r="H6" s="45"/>
      <c r="I6" s="45"/>
      <c r="J6" s="30" t="s">
        <v>23</v>
      </c>
    </row>
    <row r="7" spans="1:10" s="7" customFormat="1" ht="76.2" customHeight="1" thickBot="1">
      <c r="A7" s="9" t="s">
        <v>15</v>
      </c>
      <c r="B7" s="10" t="s">
        <v>12</v>
      </c>
      <c r="C7" s="10" t="s">
        <v>14</v>
      </c>
      <c r="D7" s="10" t="s">
        <v>11</v>
      </c>
      <c r="E7" s="10" t="s">
        <v>13</v>
      </c>
      <c r="F7" s="11" t="s">
        <v>22</v>
      </c>
      <c r="G7" s="10" t="s">
        <v>20</v>
      </c>
      <c r="H7" s="10" t="s">
        <v>21</v>
      </c>
      <c r="I7" s="10" t="s">
        <v>17</v>
      </c>
      <c r="J7" s="29"/>
    </row>
    <row r="8" spans="1:10" ht="16.8" thickTop="1" thickBot="1">
      <c r="A8" s="12" t="s">
        <v>1</v>
      </c>
      <c r="B8" s="46">
        <v>79</v>
      </c>
      <c r="C8" s="47">
        <v>63</v>
      </c>
      <c r="D8" s="47">
        <v>106</v>
      </c>
      <c r="E8" s="47">
        <v>124</v>
      </c>
      <c r="F8" s="48">
        <v>94</v>
      </c>
      <c r="G8" s="48">
        <v>201</v>
      </c>
      <c r="H8" s="48">
        <f>32*17</f>
        <v>544</v>
      </c>
      <c r="I8" s="63">
        <f>16*31</f>
        <v>496</v>
      </c>
      <c r="J8" s="64">
        <f t="shared" ref="J8:J16" si="0">SUM(B8:I8)</f>
        <v>1707</v>
      </c>
    </row>
    <row r="9" spans="1:10" ht="16.8" thickTop="1" thickBot="1">
      <c r="A9" s="12" t="s">
        <v>2</v>
      </c>
      <c r="B9" s="52">
        <v>110</v>
      </c>
      <c r="C9" s="53">
        <v>52</v>
      </c>
      <c r="D9" s="53">
        <v>27</v>
      </c>
      <c r="E9" s="53">
        <v>184</v>
      </c>
      <c r="F9" s="54">
        <v>92</v>
      </c>
      <c r="G9" s="54">
        <v>171</v>
      </c>
      <c r="H9" s="54">
        <f>32*15</f>
        <v>480</v>
      </c>
      <c r="I9" s="65">
        <f>16*31</f>
        <v>496</v>
      </c>
      <c r="J9" s="64">
        <f t="shared" si="0"/>
        <v>1612</v>
      </c>
    </row>
    <row r="10" spans="1:10" ht="16.8" thickTop="1" thickBot="1">
      <c r="A10" s="12" t="s">
        <v>3</v>
      </c>
      <c r="B10" s="52">
        <v>84</v>
      </c>
      <c r="C10" s="53">
        <v>44</v>
      </c>
      <c r="D10" s="53">
        <v>184</v>
      </c>
      <c r="E10" s="53">
        <v>312</v>
      </c>
      <c r="F10" s="54">
        <v>297</v>
      </c>
      <c r="G10" s="54">
        <v>452</v>
      </c>
      <c r="H10" s="54">
        <f>32*30</f>
        <v>960</v>
      </c>
      <c r="I10" s="65">
        <f>16*27</f>
        <v>432</v>
      </c>
      <c r="J10" s="64">
        <f t="shared" si="0"/>
        <v>2765</v>
      </c>
    </row>
    <row r="11" spans="1:10" ht="16.8" thickTop="1" thickBot="1">
      <c r="A11" s="12" t="s">
        <v>4</v>
      </c>
      <c r="B11" s="52">
        <v>515</v>
      </c>
      <c r="C11" s="53">
        <v>614</v>
      </c>
      <c r="D11" s="53">
        <v>625</v>
      </c>
      <c r="E11" s="53">
        <v>904</v>
      </c>
      <c r="F11" s="54">
        <v>234</v>
      </c>
      <c r="G11" s="54">
        <v>1021</v>
      </c>
      <c r="H11" s="54">
        <f>32*46</f>
        <v>1472</v>
      </c>
      <c r="I11" s="65">
        <f>16*104</f>
        <v>1664</v>
      </c>
      <c r="J11" s="64">
        <f t="shared" si="0"/>
        <v>7049</v>
      </c>
    </row>
    <row r="12" spans="1:10" ht="16.8" thickTop="1" thickBot="1">
      <c r="A12" s="12" t="s">
        <v>5</v>
      </c>
      <c r="B12" s="52">
        <v>324</v>
      </c>
      <c r="C12" s="53">
        <v>368</v>
      </c>
      <c r="D12" s="53">
        <v>410</v>
      </c>
      <c r="E12" s="53">
        <v>503</v>
      </c>
      <c r="F12" s="54">
        <v>561</v>
      </c>
      <c r="G12" s="54">
        <v>765</v>
      </c>
      <c r="H12" s="54">
        <f>32*21</f>
        <v>672</v>
      </c>
      <c r="I12" s="65">
        <f>16*38</f>
        <v>608</v>
      </c>
      <c r="J12" s="64">
        <f t="shared" si="0"/>
        <v>4211</v>
      </c>
    </row>
    <row r="13" spans="1:10" ht="16.8" thickTop="1" thickBot="1">
      <c r="A13" s="12" t="s">
        <v>6</v>
      </c>
      <c r="B13" s="52">
        <v>94</v>
      </c>
      <c r="C13" s="53">
        <v>150</v>
      </c>
      <c r="D13" s="53">
        <v>261</v>
      </c>
      <c r="E13" s="53">
        <v>454</v>
      </c>
      <c r="F13" s="54">
        <v>661</v>
      </c>
      <c r="G13" s="54">
        <v>814</v>
      </c>
      <c r="H13" s="54">
        <f>32*41</f>
        <v>1312</v>
      </c>
      <c r="I13" s="65">
        <f>16*57</f>
        <v>912</v>
      </c>
      <c r="J13" s="64">
        <f t="shared" si="0"/>
        <v>4658</v>
      </c>
    </row>
    <row r="14" spans="1:10" ht="16.8" thickTop="1" thickBot="1">
      <c r="A14" s="12" t="s">
        <v>7</v>
      </c>
      <c r="B14" s="52">
        <v>76</v>
      </c>
      <c r="C14" s="53">
        <v>140</v>
      </c>
      <c r="D14" s="53">
        <v>181</v>
      </c>
      <c r="E14" s="53">
        <v>75</v>
      </c>
      <c r="F14" s="54">
        <v>134</v>
      </c>
      <c r="G14" s="54">
        <v>326</v>
      </c>
      <c r="H14" s="54">
        <f>32*12</f>
        <v>384</v>
      </c>
      <c r="I14" s="65">
        <f>16*6</f>
        <v>96</v>
      </c>
      <c r="J14" s="64">
        <f t="shared" si="0"/>
        <v>1412</v>
      </c>
    </row>
    <row r="15" spans="1:10" ht="16.8" thickTop="1" thickBot="1">
      <c r="A15" s="12" t="s">
        <v>8</v>
      </c>
      <c r="B15" s="52">
        <v>81</v>
      </c>
      <c r="C15" s="53">
        <v>68</v>
      </c>
      <c r="D15" s="53">
        <v>80</v>
      </c>
      <c r="E15" s="53">
        <v>67</v>
      </c>
      <c r="F15" s="54">
        <v>80</v>
      </c>
      <c r="G15" s="54">
        <v>435</v>
      </c>
      <c r="H15" s="54">
        <f>32*17</f>
        <v>544</v>
      </c>
      <c r="I15" s="65">
        <f>16*7</f>
        <v>112</v>
      </c>
      <c r="J15" s="64">
        <f t="shared" si="0"/>
        <v>1467</v>
      </c>
    </row>
    <row r="16" spans="1:10" ht="16.8" thickTop="1" thickBot="1">
      <c r="A16" s="12" t="s">
        <v>9</v>
      </c>
      <c r="B16" s="57">
        <v>32</v>
      </c>
      <c r="C16" s="58">
        <v>138</v>
      </c>
      <c r="D16" s="58">
        <v>19</v>
      </c>
      <c r="E16" s="58">
        <v>44</v>
      </c>
      <c r="F16" s="59">
        <v>106</v>
      </c>
      <c r="G16" s="59">
        <v>234</v>
      </c>
      <c r="H16" s="59">
        <v>0</v>
      </c>
      <c r="I16" s="66">
        <v>0</v>
      </c>
      <c r="J16" s="67">
        <f t="shared" si="0"/>
        <v>573</v>
      </c>
    </row>
    <row r="17" spans="1:10" ht="16.2" thickTop="1">
      <c r="A17" s="2"/>
      <c r="B17" s="5"/>
      <c r="C17" s="5"/>
      <c r="D17" s="5"/>
      <c r="E17" s="5"/>
      <c r="F17" s="5"/>
      <c r="G17" s="5"/>
      <c r="H17" s="5"/>
      <c r="I17" s="5"/>
      <c r="J17" s="29"/>
    </row>
    <row r="18" spans="1:10" ht="76.2" thickBot="1">
      <c r="A18" s="9" t="s">
        <v>24</v>
      </c>
      <c r="B18" s="10" t="s">
        <v>12</v>
      </c>
      <c r="C18" s="10" t="s">
        <v>14</v>
      </c>
      <c r="D18" s="10" t="s">
        <v>11</v>
      </c>
      <c r="E18" s="10" t="s">
        <v>13</v>
      </c>
      <c r="F18" s="11" t="s">
        <v>22</v>
      </c>
      <c r="G18" s="10" t="s">
        <v>20</v>
      </c>
      <c r="H18" s="10" t="s">
        <v>21</v>
      </c>
      <c r="I18" s="10" t="s">
        <v>17</v>
      </c>
      <c r="J18" s="29"/>
    </row>
    <row r="19" spans="1:10" ht="16.8" thickTop="1" thickBot="1">
      <c r="A19" s="12" t="s">
        <v>1</v>
      </c>
      <c r="B19" s="13">
        <f>B8*'Unit prices'!B8</f>
        <v>549.05000000000007</v>
      </c>
      <c r="C19" s="13">
        <f>C8*'Unit prices'!C8</f>
        <v>437.85</v>
      </c>
      <c r="D19" s="13">
        <f>D8*'Unit prices'!D8</f>
        <v>842.7</v>
      </c>
      <c r="E19" s="13">
        <f>E8*'Unit prices'!E8</f>
        <v>985.80000000000007</v>
      </c>
      <c r="F19" s="13">
        <f>F8*'Unit prices'!F8</f>
        <v>329</v>
      </c>
      <c r="G19" s="13">
        <f>G8*'Unit prices'!G8</f>
        <v>954.75</v>
      </c>
      <c r="H19" s="13">
        <f>H8*'Unit prices'!H8</f>
        <v>2312</v>
      </c>
      <c r="I19" s="13">
        <f>I8*'Unit prices'!I8</f>
        <v>1984</v>
      </c>
      <c r="J19" s="42">
        <f t="shared" ref="J19:J27" si="1">SUM(B19:I19)</f>
        <v>8395.15</v>
      </c>
    </row>
    <row r="20" spans="1:10" ht="16.8" thickTop="1" thickBot="1">
      <c r="A20" s="12" t="s">
        <v>2</v>
      </c>
      <c r="B20" s="13">
        <f>B9*'Unit prices'!B9</f>
        <v>764.5</v>
      </c>
      <c r="C20" s="13">
        <f>C9*'Unit prices'!C9</f>
        <v>361.40000000000003</v>
      </c>
      <c r="D20" s="13">
        <f>D9*'Unit prices'!D9</f>
        <v>214.65</v>
      </c>
      <c r="E20" s="13">
        <f>E9*'Unit prices'!E9</f>
        <v>1462.8</v>
      </c>
      <c r="F20" s="13">
        <f>F9*'Unit prices'!F9</f>
        <v>322</v>
      </c>
      <c r="G20" s="13">
        <f>G9*'Unit prices'!G9</f>
        <v>812.25</v>
      </c>
      <c r="H20" s="13">
        <f>H9*'Unit prices'!H9</f>
        <v>2040</v>
      </c>
      <c r="I20" s="13">
        <f>I9*'Unit prices'!I9</f>
        <v>1984</v>
      </c>
      <c r="J20" s="42">
        <f t="shared" si="1"/>
        <v>7961.6</v>
      </c>
    </row>
    <row r="21" spans="1:10" ht="16.8" thickTop="1" thickBot="1">
      <c r="A21" s="12" t="s">
        <v>3</v>
      </c>
      <c r="B21" s="13">
        <f>B10*'Unit prices'!B10</f>
        <v>583.80000000000007</v>
      </c>
      <c r="C21" s="13">
        <f>C10*'Unit prices'!C10</f>
        <v>305.8</v>
      </c>
      <c r="D21" s="13">
        <f>D10*'Unit prices'!D10</f>
        <v>1462.8</v>
      </c>
      <c r="E21" s="13">
        <f>E10*'Unit prices'!E10</f>
        <v>2480.4</v>
      </c>
      <c r="F21" s="13">
        <f>F10*'Unit prices'!F10</f>
        <v>1039.5</v>
      </c>
      <c r="G21" s="13">
        <f>G10*'Unit prices'!G10</f>
        <v>2147</v>
      </c>
      <c r="H21" s="13">
        <f>H10*'Unit prices'!H10</f>
        <v>4080</v>
      </c>
      <c r="I21" s="13">
        <f>I10*'Unit prices'!I10</f>
        <v>1728</v>
      </c>
      <c r="J21" s="42">
        <f t="shared" si="1"/>
        <v>13827.3</v>
      </c>
    </row>
    <row r="22" spans="1:10" ht="16.8" thickTop="1" thickBot="1">
      <c r="A22" s="12" t="s">
        <v>4</v>
      </c>
      <c r="B22" s="13">
        <f>B11*'Unit prices'!B11</f>
        <v>3579.25</v>
      </c>
      <c r="C22" s="13">
        <f>C11*'Unit prices'!C11</f>
        <v>4267.3</v>
      </c>
      <c r="D22" s="13">
        <f>D11*'Unit prices'!D11</f>
        <v>4968.75</v>
      </c>
      <c r="E22" s="13">
        <f>E11*'Unit prices'!E11</f>
        <v>7186.8</v>
      </c>
      <c r="F22" s="13">
        <f>F11*'Unit prices'!F11</f>
        <v>819</v>
      </c>
      <c r="G22" s="13">
        <f>G11*'Unit prices'!G11</f>
        <v>4849.75</v>
      </c>
      <c r="H22" s="13">
        <f>H11*'Unit prices'!H11</f>
        <v>6256</v>
      </c>
      <c r="I22" s="13">
        <f>I11*'Unit prices'!I11</f>
        <v>6656</v>
      </c>
      <c r="J22" s="42">
        <f t="shared" si="1"/>
        <v>38582.85</v>
      </c>
    </row>
    <row r="23" spans="1:10" ht="16.8" thickTop="1" thickBot="1">
      <c r="A23" s="12" t="s">
        <v>5</v>
      </c>
      <c r="B23" s="13">
        <f>B12*'Unit prices'!B12</f>
        <v>2899.7999999999997</v>
      </c>
      <c r="C23" s="13">
        <f>C12*'Unit prices'!C12</f>
        <v>3293.6</v>
      </c>
      <c r="D23" s="13">
        <f>D12*'Unit prices'!D12</f>
        <v>4079.4999999999995</v>
      </c>
      <c r="E23" s="13">
        <f>E12*'Unit prices'!E12</f>
        <v>5004.8499999999995</v>
      </c>
      <c r="F23" s="13">
        <f>F12*'Unit prices'!F12</f>
        <v>2664.75</v>
      </c>
      <c r="G23" s="13">
        <f>G12*'Unit prices'!G12</f>
        <v>4016.25</v>
      </c>
      <c r="H23" s="13">
        <f>H12*'Unit prices'!H12</f>
        <v>3528</v>
      </c>
      <c r="I23" s="13">
        <f>I12*'Unit prices'!I12</f>
        <v>3040</v>
      </c>
      <c r="J23" s="42">
        <f t="shared" si="1"/>
        <v>28526.75</v>
      </c>
    </row>
    <row r="24" spans="1:10" ht="16.8" thickTop="1" thickBot="1">
      <c r="A24" s="12" t="s">
        <v>6</v>
      </c>
      <c r="B24" s="13">
        <f>B13*'Unit prices'!B13</f>
        <v>841.3</v>
      </c>
      <c r="C24" s="13">
        <f>C13*'Unit prices'!C13</f>
        <v>1342.5</v>
      </c>
      <c r="D24" s="13">
        <f>D13*'Unit prices'!D13</f>
        <v>2596.9499999999998</v>
      </c>
      <c r="E24" s="13">
        <f>E13*'Unit prices'!E13</f>
        <v>4517.2999999999993</v>
      </c>
      <c r="F24" s="13">
        <f>F13*'Unit prices'!F13</f>
        <v>3139.75</v>
      </c>
      <c r="G24" s="13">
        <f>G13*'Unit prices'!G13</f>
        <v>4273.5</v>
      </c>
      <c r="H24" s="13">
        <f>H13*'Unit prices'!H13</f>
        <v>6888</v>
      </c>
      <c r="I24" s="13">
        <f>I13*'Unit prices'!I13</f>
        <v>4560</v>
      </c>
      <c r="J24" s="42">
        <f t="shared" si="1"/>
        <v>28159.3</v>
      </c>
    </row>
    <row r="25" spans="1:10" ht="16.8" thickTop="1" thickBot="1">
      <c r="A25" s="12" t="s">
        <v>7</v>
      </c>
      <c r="B25" s="13">
        <f>B14*'Unit prices'!B14</f>
        <v>680.19999999999993</v>
      </c>
      <c r="C25" s="13">
        <f>C14*'Unit prices'!C14</f>
        <v>1253</v>
      </c>
      <c r="D25" s="13">
        <f>D14*'Unit prices'!D14</f>
        <v>1800.9499999999998</v>
      </c>
      <c r="E25" s="13">
        <f>E14*'Unit prices'!E14</f>
        <v>746.25</v>
      </c>
      <c r="F25" s="13">
        <f>F14*'Unit prices'!F14</f>
        <v>636.5</v>
      </c>
      <c r="G25" s="13">
        <f>G14*'Unit prices'!G14</f>
        <v>1711.5</v>
      </c>
      <c r="H25" s="13">
        <f>H14*'Unit prices'!H14</f>
        <v>2016</v>
      </c>
      <c r="I25" s="13">
        <f>I14*'Unit prices'!I14</f>
        <v>480</v>
      </c>
      <c r="J25" s="42">
        <f t="shared" si="1"/>
        <v>9324.4</v>
      </c>
    </row>
    <row r="26" spans="1:10" ht="16.8" thickTop="1" thickBot="1">
      <c r="A26" s="12" t="s">
        <v>8</v>
      </c>
      <c r="B26" s="13">
        <f>B15*'Unit prices'!B15</f>
        <v>481.95</v>
      </c>
      <c r="C26" s="13">
        <f>C15*'Unit prices'!C15</f>
        <v>404.6</v>
      </c>
      <c r="D26" s="13">
        <f>D15*'Unit prices'!D15</f>
        <v>556</v>
      </c>
      <c r="E26" s="13">
        <f>E15*'Unit prices'!E15</f>
        <v>465.65000000000003</v>
      </c>
      <c r="F26" s="13">
        <f>F15*'Unit prices'!F15</f>
        <v>236</v>
      </c>
      <c r="G26" s="13">
        <f>G15*'Unit prices'!G15</f>
        <v>1413.75</v>
      </c>
      <c r="H26" s="13">
        <f>H15*'Unit prices'!H15</f>
        <v>2040</v>
      </c>
      <c r="I26" s="13">
        <f>I15*'Unit prices'!I15</f>
        <v>336</v>
      </c>
      <c r="J26" s="42">
        <f t="shared" si="1"/>
        <v>5933.95</v>
      </c>
    </row>
    <row r="27" spans="1:10" ht="16.8" thickTop="1" thickBot="1">
      <c r="A27" s="12" t="s">
        <v>9</v>
      </c>
      <c r="B27" s="32">
        <f>B16*'Unit prices'!B16</f>
        <v>190.4</v>
      </c>
      <c r="C27" s="32">
        <f>C16*'Unit prices'!C16</f>
        <v>821.1</v>
      </c>
      <c r="D27" s="32">
        <f>D16*'Unit prices'!D16</f>
        <v>132.05000000000001</v>
      </c>
      <c r="E27" s="32">
        <f>E16*'Unit prices'!E16</f>
        <v>305.8</v>
      </c>
      <c r="F27" s="32">
        <f>F16*'Unit prices'!F16</f>
        <v>312.70000000000005</v>
      </c>
      <c r="G27" s="32">
        <f>G16*'Unit prices'!G16</f>
        <v>760.5</v>
      </c>
      <c r="H27" s="32">
        <f>H16*'Unit prices'!H16</f>
        <v>0</v>
      </c>
      <c r="I27" s="33">
        <f>I16*'Unit prices'!I16</f>
        <v>0</v>
      </c>
      <c r="J27" s="43">
        <f t="shared" si="1"/>
        <v>2522.5500000000002</v>
      </c>
    </row>
    <row r="28" spans="1:10" ht="16.2" thickTop="1">
      <c r="A28" s="2"/>
      <c r="B28" s="5"/>
      <c r="C28" s="5"/>
      <c r="D28" s="5"/>
      <c r="E28" s="5"/>
      <c r="F28" s="5"/>
      <c r="G28" s="5"/>
      <c r="H28" s="5"/>
      <c r="I28" s="5"/>
      <c r="J28" s="35">
        <f>SUM(J19:J27)</f>
        <v>143233.85</v>
      </c>
    </row>
    <row r="29" spans="1:10" ht="16.2">
      <c r="A29" s="36"/>
      <c r="B29" s="36"/>
      <c r="C29" s="36"/>
      <c r="D29" s="36"/>
      <c r="E29" s="36"/>
      <c r="F29" s="36"/>
      <c r="G29" s="36"/>
      <c r="H29" s="36"/>
      <c r="I29" s="37" t="s">
        <v>25</v>
      </c>
      <c r="J29" s="38">
        <v>9179.85</v>
      </c>
    </row>
    <row r="30" spans="1:10" ht="16.2">
      <c r="A30" s="36"/>
      <c r="B30" s="36"/>
      <c r="C30" s="36"/>
      <c r="D30" s="36"/>
      <c r="E30" s="36"/>
      <c r="F30" s="36"/>
      <c r="G30" s="36"/>
      <c r="H30" s="36"/>
      <c r="I30" s="37" t="s">
        <v>26</v>
      </c>
      <c r="J30" s="39">
        <f>J28-J29</f>
        <v>134054</v>
      </c>
    </row>
  </sheetData>
  <mergeCells count="2">
    <mergeCell ref="B6:E6"/>
    <mergeCell ref="F6:I6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0" zoomScaleNormal="80" workbookViewId="0">
      <selection activeCell="B8" sqref="B8:J16"/>
    </sheetView>
  </sheetViews>
  <sheetFormatPr defaultRowHeight="15.6"/>
  <cols>
    <col min="1" max="1" width="39.296875" customWidth="1"/>
    <col min="2" max="9" width="10.69921875" customWidth="1"/>
    <col min="10" max="10" width="13.19921875" customWidth="1"/>
  </cols>
  <sheetData>
    <row r="1" spans="1:10">
      <c r="A1" s="1"/>
      <c r="D1" s="8"/>
      <c r="E1" s="8"/>
    </row>
    <row r="2" spans="1:10">
      <c r="A2" s="1"/>
      <c r="D2" s="8"/>
      <c r="E2" s="8"/>
    </row>
    <row r="3" spans="1:10" ht="32.4">
      <c r="A3" s="1"/>
      <c r="B3" s="4" t="s">
        <v>10</v>
      </c>
      <c r="E3" s="1"/>
    </row>
    <row r="4" spans="1:10" ht="17.399999999999999">
      <c r="A4" s="1"/>
      <c r="B4" s="6">
        <v>41334</v>
      </c>
      <c r="E4" s="1"/>
      <c r="F4" s="41"/>
    </row>
    <row r="5" spans="1:10">
      <c r="A5" s="1"/>
      <c r="B5" s="1"/>
      <c r="C5" s="1"/>
      <c r="D5" s="1"/>
      <c r="E5" s="1"/>
    </row>
    <row r="6" spans="1:10" ht="16.2">
      <c r="A6" s="28"/>
      <c r="B6" s="44" t="s">
        <v>18</v>
      </c>
      <c r="C6" s="44"/>
      <c r="D6" s="44"/>
      <c r="E6" s="44"/>
      <c r="F6" s="44" t="s">
        <v>19</v>
      </c>
      <c r="G6" s="45"/>
      <c r="H6" s="45"/>
      <c r="I6" s="45"/>
      <c r="J6" s="30" t="s">
        <v>23</v>
      </c>
    </row>
    <row r="7" spans="1:10" s="7" customFormat="1" ht="76.2" customHeight="1" thickBot="1">
      <c r="A7" s="9" t="s">
        <v>15</v>
      </c>
      <c r="B7" s="10" t="s">
        <v>12</v>
      </c>
      <c r="C7" s="10" t="s">
        <v>14</v>
      </c>
      <c r="D7" s="10" t="s">
        <v>11</v>
      </c>
      <c r="E7" s="10" t="s">
        <v>13</v>
      </c>
      <c r="F7" s="11" t="s">
        <v>22</v>
      </c>
      <c r="G7" s="10" t="s">
        <v>20</v>
      </c>
      <c r="H7" s="10" t="s">
        <v>21</v>
      </c>
      <c r="I7" s="10" t="s">
        <v>17</v>
      </c>
      <c r="J7" s="29"/>
    </row>
    <row r="8" spans="1:10" ht="16.8" thickTop="1" thickBot="1">
      <c r="A8" s="12" t="s">
        <v>1</v>
      </c>
      <c r="B8" s="46">
        <v>72</v>
      </c>
      <c r="C8" s="47">
        <v>54</v>
      </c>
      <c r="D8" s="47">
        <v>94</v>
      </c>
      <c r="E8" s="47">
        <v>120</v>
      </c>
      <c r="F8" s="48">
        <v>97</v>
      </c>
      <c r="G8" s="48">
        <v>206</v>
      </c>
      <c r="H8" s="48">
        <f>32*13</f>
        <v>416</v>
      </c>
      <c r="I8" s="63">
        <f>16*22</f>
        <v>352</v>
      </c>
      <c r="J8" s="64">
        <f t="shared" ref="J8:J16" si="0">SUM(B8:I8)</f>
        <v>1411</v>
      </c>
    </row>
    <row r="9" spans="1:10" ht="16.8" thickTop="1" thickBot="1">
      <c r="A9" s="12" t="s">
        <v>2</v>
      </c>
      <c r="B9" s="52">
        <v>124</v>
      </c>
      <c r="C9" s="53">
        <v>71</v>
      </c>
      <c r="D9" s="53">
        <v>52</v>
      </c>
      <c r="E9" s="53">
        <v>203</v>
      </c>
      <c r="F9" s="54">
        <v>105</v>
      </c>
      <c r="G9" s="54">
        <v>78</v>
      </c>
      <c r="H9" s="54">
        <f>32*18</f>
        <v>576</v>
      </c>
      <c r="I9" s="65">
        <f>16*26</f>
        <v>416</v>
      </c>
      <c r="J9" s="64">
        <f t="shared" si="0"/>
        <v>1625</v>
      </c>
    </row>
    <row r="10" spans="1:10" ht="16.8" thickTop="1" thickBot="1">
      <c r="A10" s="12" t="s">
        <v>3</v>
      </c>
      <c r="B10" s="52">
        <v>103</v>
      </c>
      <c r="C10" s="53">
        <v>65</v>
      </c>
      <c r="D10" s="53">
        <v>191</v>
      </c>
      <c r="E10" s="53">
        <v>327</v>
      </c>
      <c r="F10" s="54">
        <v>303</v>
      </c>
      <c r="G10" s="54">
        <v>675</v>
      </c>
      <c r="H10" s="54">
        <f>32*29</f>
        <v>928</v>
      </c>
      <c r="I10" s="65">
        <f>16*51</f>
        <v>816</v>
      </c>
      <c r="J10" s="64">
        <f t="shared" si="0"/>
        <v>3408</v>
      </c>
    </row>
    <row r="11" spans="1:10" ht="16.8" thickTop="1" thickBot="1">
      <c r="A11" s="12" t="s">
        <v>4</v>
      </c>
      <c r="B11" s="52">
        <v>534</v>
      </c>
      <c r="C11" s="53">
        <v>657</v>
      </c>
      <c r="D11" s="53">
        <v>735</v>
      </c>
      <c r="E11" s="53">
        <v>936</v>
      </c>
      <c r="F11" s="54">
        <v>134</v>
      </c>
      <c r="G11" s="54">
        <v>432</v>
      </c>
      <c r="H11" s="54">
        <f>32*27</f>
        <v>864</v>
      </c>
      <c r="I11" s="65">
        <f>16*13</f>
        <v>208</v>
      </c>
      <c r="J11" s="64">
        <f t="shared" si="0"/>
        <v>4500</v>
      </c>
    </row>
    <row r="12" spans="1:10" ht="16.8" thickTop="1" thickBot="1">
      <c r="A12" s="12" t="s">
        <v>5</v>
      </c>
      <c r="B12" s="52">
        <v>395</v>
      </c>
      <c r="C12" s="53">
        <v>403</v>
      </c>
      <c r="D12" s="53">
        <v>426</v>
      </c>
      <c r="E12" s="53">
        <v>552</v>
      </c>
      <c r="F12" s="54">
        <v>468</v>
      </c>
      <c r="G12" s="54">
        <v>465</v>
      </c>
      <c r="H12" s="54">
        <f>32*37</f>
        <v>1184</v>
      </c>
      <c r="I12" s="65">
        <f>16*19</f>
        <v>304</v>
      </c>
      <c r="J12" s="64">
        <f t="shared" si="0"/>
        <v>4197</v>
      </c>
    </row>
    <row r="13" spans="1:10" ht="16.8" thickTop="1" thickBot="1">
      <c r="A13" s="12" t="s">
        <v>6</v>
      </c>
      <c r="B13" s="52">
        <v>94</v>
      </c>
      <c r="C13" s="53">
        <v>150</v>
      </c>
      <c r="D13" s="53">
        <v>261</v>
      </c>
      <c r="E13" s="53">
        <v>454</v>
      </c>
      <c r="F13" s="54">
        <v>661</v>
      </c>
      <c r="G13" s="54">
        <v>814</v>
      </c>
      <c r="H13" s="54">
        <f>32*41</f>
        <v>1312</v>
      </c>
      <c r="I13" s="65">
        <f>16*57</f>
        <v>912</v>
      </c>
      <c r="J13" s="64">
        <f t="shared" si="0"/>
        <v>4658</v>
      </c>
    </row>
    <row r="14" spans="1:10" ht="16.8" thickTop="1" thickBot="1">
      <c r="A14" s="12" t="s">
        <v>7</v>
      </c>
      <c r="B14" s="52">
        <v>81</v>
      </c>
      <c r="C14" s="53">
        <v>106</v>
      </c>
      <c r="D14" s="53">
        <v>134</v>
      </c>
      <c r="E14" s="53">
        <v>84</v>
      </c>
      <c r="F14" s="54">
        <v>121</v>
      </c>
      <c r="G14" s="54">
        <v>234</v>
      </c>
      <c r="H14" s="54">
        <f>32*7</f>
        <v>224</v>
      </c>
      <c r="I14" s="65">
        <f>16*2</f>
        <v>32</v>
      </c>
      <c r="J14" s="64">
        <f t="shared" si="0"/>
        <v>1016</v>
      </c>
    </row>
    <row r="15" spans="1:10" ht="16.8" thickTop="1" thickBot="1">
      <c r="A15" s="12" t="s">
        <v>8</v>
      </c>
      <c r="B15" s="52">
        <v>90</v>
      </c>
      <c r="C15" s="53">
        <v>88</v>
      </c>
      <c r="D15" s="53">
        <v>103</v>
      </c>
      <c r="E15" s="53">
        <v>56</v>
      </c>
      <c r="F15" s="54">
        <v>61</v>
      </c>
      <c r="G15" s="54">
        <v>267</v>
      </c>
      <c r="H15" s="54">
        <f>32*8</f>
        <v>256</v>
      </c>
      <c r="I15" s="65">
        <f>16*6</f>
        <v>96</v>
      </c>
      <c r="J15" s="64">
        <f t="shared" si="0"/>
        <v>1017</v>
      </c>
    </row>
    <row r="16" spans="1:10" ht="16.8" thickTop="1" thickBot="1">
      <c r="A16" s="12" t="s">
        <v>9</v>
      </c>
      <c r="B16" s="57">
        <v>92</v>
      </c>
      <c r="C16" s="58">
        <v>96</v>
      </c>
      <c r="D16" s="58">
        <v>62</v>
      </c>
      <c r="E16" s="58">
        <v>54</v>
      </c>
      <c r="F16" s="59">
        <v>136</v>
      </c>
      <c r="G16" s="59">
        <v>230</v>
      </c>
      <c r="H16" s="59">
        <v>0</v>
      </c>
      <c r="I16" s="66">
        <v>0</v>
      </c>
      <c r="J16" s="67">
        <f t="shared" si="0"/>
        <v>670</v>
      </c>
    </row>
    <row r="17" spans="1:10" ht="16.2" thickTop="1">
      <c r="A17" s="2"/>
      <c r="B17" s="5"/>
      <c r="C17" s="5"/>
      <c r="D17" s="5"/>
      <c r="E17" s="5"/>
      <c r="F17" s="5"/>
      <c r="G17" s="5"/>
      <c r="H17" s="5"/>
      <c r="I17" s="5"/>
      <c r="J17" s="29"/>
    </row>
    <row r="18" spans="1:10" ht="76.2" thickBot="1">
      <c r="A18" s="9" t="s">
        <v>24</v>
      </c>
      <c r="B18" s="10" t="s">
        <v>12</v>
      </c>
      <c r="C18" s="10" t="s">
        <v>14</v>
      </c>
      <c r="D18" s="10" t="s">
        <v>11</v>
      </c>
      <c r="E18" s="10" t="s">
        <v>13</v>
      </c>
      <c r="F18" s="11" t="s">
        <v>22</v>
      </c>
      <c r="G18" s="10" t="s">
        <v>20</v>
      </c>
      <c r="H18" s="10" t="s">
        <v>21</v>
      </c>
      <c r="I18" s="10" t="s">
        <v>17</v>
      </c>
      <c r="J18" s="29"/>
    </row>
    <row r="19" spans="1:10" ht="16.8" thickTop="1" thickBot="1">
      <c r="A19" s="12" t="s">
        <v>1</v>
      </c>
      <c r="B19" s="13">
        <f>B8*'Unit prices'!B8</f>
        <v>500.40000000000003</v>
      </c>
      <c r="C19" s="13">
        <f>C8*'Unit prices'!C8</f>
        <v>375.3</v>
      </c>
      <c r="D19" s="13">
        <f>D8*'Unit prices'!D8</f>
        <v>747.30000000000007</v>
      </c>
      <c r="E19" s="13">
        <f>E8*'Unit prices'!E8</f>
        <v>954</v>
      </c>
      <c r="F19" s="13">
        <f>F8*'Unit prices'!F8</f>
        <v>339.5</v>
      </c>
      <c r="G19" s="13">
        <f>G8*'Unit prices'!G8</f>
        <v>978.5</v>
      </c>
      <c r="H19" s="13">
        <f>H8*'Unit prices'!H8</f>
        <v>1768</v>
      </c>
      <c r="I19" s="13">
        <f>I8*'Unit prices'!I8</f>
        <v>1408</v>
      </c>
      <c r="J19" s="42">
        <f t="shared" ref="J19:J27" si="1">SUM(B19:I19)</f>
        <v>7071</v>
      </c>
    </row>
    <row r="20" spans="1:10" ht="16.8" thickTop="1" thickBot="1">
      <c r="A20" s="12" t="s">
        <v>2</v>
      </c>
      <c r="B20" s="13">
        <f>B9*'Unit prices'!B9</f>
        <v>861.80000000000007</v>
      </c>
      <c r="C20" s="13">
        <f>C9*'Unit prices'!C9</f>
        <v>493.45</v>
      </c>
      <c r="D20" s="13">
        <f>D9*'Unit prices'!D9</f>
        <v>413.40000000000003</v>
      </c>
      <c r="E20" s="13">
        <f>E9*'Unit prices'!E9</f>
        <v>1613.8500000000001</v>
      </c>
      <c r="F20" s="13">
        <f>F9*'Unit prices'!F9</f>
        <v>367.5</v>
      </c>
      <c r="G20" s="13">
        <f>G9*'Unit prices'!G9</f>
        <v>370.5</v>
      </c>
      <c r="H20" s="13">
        <f>H9*'Unit prices'!H9</f>
        <v>2448</v>
      </c>
      <c r="I20" s="13">
        <f>I9*'Unit prices'!I9</f>
        <v>1664</v>
      </c>
      <c r="J20" s="42">
        <f t="shared" si="1"/>
        <v>8232.5</v>
      </c>
    </row>
    <row r="21" spans="1:10" ht="16.8" thickTop="1" thickBot="1">
      <c r="A21" s="12" t="s">
        <v>3</v>
      </c>
      <c r="B21" s="13">
        <f>B10*'Unit prices'!B10</f>
        <v>715.85</v>
      </c>
      <c r="C21" s="13">
        <f>C10*'Unit prices'!C10</f>
        <v>451.75</v>
      </c>
      <c r="D21" s="13">
        <f>D10*'Unit prices'!D10</f>
        <v>1518.45</v>
      </c>
      <c r="E21" s="13">
        <f>E10*'Unit prices'!E10</f>
        <v>2599.65</v>
      </c>
      <c r="F21" s="13">
        <f>F10*'Unit prices'!F10</f>
        <v>1060.5</v>
      </c>
      <c r="G21" s="13">
        <f>G10*'Unit prices'!G10</f>
        <v>3206.25</v>
      </c>
      <c r="H21" s="13">
        <f>H10*'Unit prices'!H10</f>
        <v>3944</v>
      </c>
      <c r="I21" s="13">
        <f>I10*'Unit prices'!I10</f>
        <v>3264</v>
      </c>
      <c r="J21" s="42">
        <f t="shared" si="1"/>
        <v>16760.45</v>
      </c>
    </row>
    <row r="22" spans="1:10" ht="16.8" thickTop="1" thickBot="1">
      <c r="A22" s="12" t="s">
        <v>4</v>
      </c>
      <c r="B22" s="13">
        <f>B11*'Unit prices'!B11</f>
        <v>3711.3</v>
      </c>
      <c r="C22" s="13">
        <f>C11*'Unit prices'!C11</f>
        <v>4566.1500000000005</v>
      </c>
      <c r="D22" s="13">
        <f>D11*'Unit prices'!D11</f>
        <v>5843.25</v>
      </c>
      <c r="E22" s="13">
        <f>E11*'Unit prices'!E11</f>
        <v>7441.2</v>
      </c>
      <c r="F22" s="13">
        <f>F11*'Unit prices'!F11</f>
        <v>469</v>
      </c>
      <c r="G22" s="13">
        <f>G11*'Unit prices'!G11</f>
        <v>2052</v>
      </c>
      <c r="H22" s="13">
        <f>H11*'Unit prices'!H11</f>
        <v>3672</v>
      </c>
      <c r="I22" s="13">
        <f>I11*'Unit prices'!I11</f>
        <v>832</v>
      </c>
      <c r="J22" s="42">
        <f t="shared" si="1"/>
        <v>28586.9</v>
      </c>
    </row>
    <row r="23" spans="1:10" ht="16.8" thickTop="1" thickBot="1">
      <c r="A23" s="12" t="s">
        <v>5</v>
      </c>
      <c r="B23" s="13">
        <f>B12*'Unit prices'!B12</f>
        <v>3535.2499999999995</v>
      </c>
      <c r="C23" s="13">
        <f>C12*'Unit prices'!C12</f>
        <v>3606.85</v>
      </c>
      <c r="D23" s="13">
        <f>D12*'Unit prices'!D12</f>
        <v>4238.7</v>
      </c>
      <c r="E23" s="13">
        <f>E12*'Unit prices'!E12</f>
        <v>5492.4</v>
      </c>
      <c r="F23" s="13">
        <f>F12*'Unit prices'!F12</f>
        <v>2223</v>
      </c>
      <c r="G23" s="13">
        <f>G12*'Unit prices'!G12</f>
        <v>2441.25</v>
      </c>
      <c r="H23" s="13">
        <f>H12*'Unit prices'!H12</f>
        <v>6216</v>
      </c>
      <c r="I23" s="13">
        <f>I12*'Unit prices'!I12</f>
        <v>1520</v>
      </c>
      <c r="J23" s="42">
        <f t="shared" si="1"/>
        <v>29273.449999999997</v>
      </c>
    </row>
    <row r="24" spans="1:10" ht="16.8" thickTop="1" thickBot="1">
      <c r="A24" s="12" t="s">
        <v>6</v>
      </c>
      <c r="B24" s="13">
        <f>B13*'Unit prices'!B13</f>
        <v>841.3</v>
      </c>
      <c r="C24" s="13">
        <f>C13*'Unit prices'!C13</f>
        <v>1342.5</v>
      </c>
      <c r="D24" s="13">
        <f>D13*'Unit prices'!D13</f>
        <v>2596.9499999999998</v>
      </c>
      <c r="E24" s="13">
        <f>E13*'Unit prices'!E13</f>
        <v>4517.2999999999993</v>
      </c>
      <c r="F24" s="13">
        <f>F13*'Unit prices'!F13</f>
        <v>3139.75</v>
      </c>
      <c r="G24" s="13">
        <f>G13*'Unit prices'!G13</f>
        <v>4273.5</v>
      </c>
      <c r="H24" s="13">
        <f>H13*'Unit prices'!H13</f>
        <v>6888</v>
      </c>
      <c r="I24" s="13">
        <f>I13*'Unit prices'!I13</f>
        <v>4560</v>
      </c>
      <c r="J24" s="42">
        <f t="shared" si="1"/>
        <v>28159.3</v>
      </c>
    </row>
    <row r="25" spans="1:10" ht="16.8" thickTop="1" thickBot="1">
      <c r="A25" s="12" t="s">
        <v>7</v>
      </c>
      <c r="B25" s="13">
        <f>B14*'Unit prices'!B14</f>
        <v>724.94999999999993</v>
      </c>
      <c r="C25" s="13">
        <f>C14*'Unit prices'!C14</f>
        <v>948.69999999999993</v>
      </c>
      <c r="D25" s="13">
        <f>D14*'Unit prices'!D14</f>
        <v>1333.3</v>
      </c>
      <c r="E25" s="13">
        <f>E14*'Unit prices'!E14</f>
        <v>835.8</v>
      </c>
      <c r="F25" s="13">
        <f>F14*'Unit prices'!F14</f>
        <v>574.75</v>
      </c>
      <c r="G25" s="13">
        <f>G14*'Unit prices'!G14</f>
        <v>1228.5</v>
      </c>
      <c r="H25" s="13">
        <f>H14*'Unit prices'!H14</f>
        <v>1176</v>
      </c>
      <c r="I25" s="13">
        <f>I14*'Unit prices'!I14</f>
        <v>160</v>
      </c>
      <c r="J25" s="42">
        <f t="shared" si="1"/>
        <v>6982</v>
      </c>
    </row>
    <row r="26" spans="1:10" ht="16.8" thickTop="1" thickBot="1">
      <c r="A26" s="12" t="s">
        <v>8</v>
      </c>
      <c r="B26" s="13">
        <f>B15*'Unit prices'!B15</f>
        <v>535.5</v>
      </c>
      <c r="C26" s="13">
        <f>C15*'Unit prices'!C15</f>
        <v>523.6</v>
      </c>
      <c r="D26" s="13">
        <f>D15*'Unit prices'!D15</f>
        <v>715.85</v>
      </c>
      <c r="E26" s="13">
        <f>E15*'Unit prices'!E15</f>
        <v>389.2</v>
      </c>
      <c r="F26" s="13">
        <f>F15*'Unit prices'!F15</f>
        <v>179.95000000000002</v>
      </c>
      <c r="G26" s="13">
        <f>G15*'Unit prices'!G15</f>
        <v>867.75</v>
      </c>
      <c r="H26" s="13">
        <f>H15*'Unit prices'!H15</f>
        <v>960</v>
      </c>
      <c r="I26" s="13">
        <f>I15*'Unit prices'!I15</f>
        <v>288</v>
      </c>
      <c r="J26" s="42">
        <f t="shared" si="1"/>
        <v>4459.8499999999995</v>
      </c>
    </row>
    <row r="27" spans="1:10" ht="16.8" thickTop="1" thickBot="1">
      <c r="A27" s="12" t="s">
        <v>9</v>
      </c>
      <c r="B27" s="32">
        <f>B16*'Unit prices'!B16</f>
        <v>547.4</v>
      </c>
      <c r="C27" s="32">
        <f>C16*'Unit prices'!C16</f>
        <v>571.20000000000005</v>
      </c>
      <c r="D27" s="32">
        <f>D16*'Unit prices'!D16</f>
        <v>430.90000000000003</v>
      </c>
      <c r="E27" s="32">
        <f>E16*'Unit prices'!E16</f>
        <v>375.3</v>
      </c>
      <c r="F27" s="32">
        <f>F16*'Unit prices'!F16</f>
        <v>401.20000000000005</v>
      </c>
      <c r="G27" s="32">
        <f>G16*'Unit prices'!G16</f>
        <v>747.5</v>
      </c>
      <c r="H27" s="32">
        <f>H16*'Unit prices'!H16</f>
        <v>0</v>
      </c>
      <c r="I27" s="33">
        <f>I16*'Unit prices'!I16</f>
        <v>0</v>
      </c>
      <c r="J27" s="43">
        <f t="shared" si="1"/>
        <v>3073.5</v>
      </c>
    </row>
    <row r="28" spans="1:10" ht="16.2" thickTop="1">
      <c r="A28" s="2"/>
      <c r="B28" s="5"/>
      <c r="C28" s="5"/>
      <c r="D28" s="5"/>
      <c r="E28" s="5"/>
      <c r="F28" s="5"/>
      <c r="G28" s="5"/>
      <c r="H28" s="5"/>
      <c r="I28" s="5"/>
      <c r="J28" s="35">
        <f>SUM(J19:J27)</f>
        <v>132598.95000000001</v>
      </c>
    </row>
    <row r="29" spans="1:10" ht="16.2">
      <c r="A29" s="36"/>
      <c r="B29" s="36"/>
      <c r="C29" s="36"/>
      <c r="D29" s="36"/>
      <c r="E29" s="36"/>
      <c r="F29" s="36"/>
      <c r="G29" s="36"/>
      <c r="H29" s="36"/>
      <c r="I29" s="37" t="s">
        <v>25</v>
      </c>
      <c r="J29" s="38">
        <v>8753.9500000000007</v>
      </c>
    </row>
    <row r="30" spans="1:10" ht="16.2">
      <c r="A30" s="36"/>
      <c r="B30" s="36"/>
      <c r="C30" s="36"/>
      <c r="D30" s="36"/>
      <c r="E30" s="36"/>
      <c r="F30" s="36"/>
      <c r="G30" s="36"/>
      <c r="H30" s="36"/>
      <c r="I30" s="37" t="s">
        <v>26</v>
      </c>
      <c r="J30" s="39">
        <f>J28-J29</f>
        <v>123845.00000000001</v>
      </c>
    </row>
  </sheetData>
  <dataConsolidate/>
  <mergeCells count="2">
    <mergeCell ref="B6:E6"/>
    <mergeCell ref="F6:I6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workbookViewId="0">
      <selection activeCell="B8" sqref="B8"/>
    </sheetView>
  </sheetViews>
  <sheetFormatPr defaultRowHeight="15.6"/>
  <cols>
    <col min="1" max="1" width="39.296875" customWidth="1"/>
    <col min="2" max="7" width="9.69921875" customWidth="1"/>
  </cols>
  <sheetData>
    <row r="1" spans="1:9">
      <c r="A1" s="1"/>
      <c r="D1" s="8"/>
      <c r="E1" s="8"/>
    </row>
    <row r="2" spans="1:9">
      <c r="A2" s="1"/>
      <c r="D2" s="8"/>
      <c r="E2" s="8"/>
    </row>
    <row r="3" spans="1:9" ht="32.4">
      <c r="A3" s="1"/>
      <c r="B3" s="4" t="s">
        <v>16</v>
      </c>
      <c r="E3" s="1"/>
    </row>
    <row r="4" spans="1:9" ht="17.399999999999999">
      <c r="A4" s="1"/>
      <c r="C4" s="6"/>
      <c r="E4" s="1"/>
      <c r="F4" s="3"/>
    </row>
    <row r="5" spans="1:9" ht="17.399999999999999">
      <c r="A5" s="1"/>
      <c r="C5" s="6"/>
      <c r="E5" s="1"/>
      <c r="F5" s="3"/>
    </row>
    <row r="6" spans="1:9" ht="16.2">
      <c r="A6" s="28"/>
      <c r="B6" s="44" t="s">
        <v>18</v>
      </c>
      <c r="C6" s="44"/>
      <c r="D6" s="44"/>
      <c r="E6" s="44"/>
      <c r="F6" s="44" t="s">
        <v>19</v>
      </c>
      <c r="G6" s="45"/>
      <c r="H6" s="45"/>
      <c r="I6" s="45"/>
    </row>
    <row r="7" spans="1:9" s="7" customFormat="1" ht="76.2" customHeight="1" thickBot="1">
      <c r="A7" s="9"/>
      <c r="B7" s="10" t="s">
        <v>12</v>
      </c>
      <c r="C7" s="10" t="s">
        <v>14</v>
      </c>
      <c r="D7" s="10" t="s">
        <v>11</v>
      </c>
      <c r="E7" s="10" t="s">
        <v>13</v>
      </c>
      <c r="F7" s="11" t="s">
        <v>22</v>
      </c>
      <c r="G7" s="10" t="s">
        <v>20</v>
      </c>
      <c r="H7" s="10" t="s">
        <v>21</v>
      </c>
      <c r="I7" s="10" t="s">
        <v>17</v>
      </c>
    </row>
    <row r="8" spans="1:9" ht="16.2" thickTop="1">
      <c r="A8" s="12" t="s">
        <v>0</v>
      </c>
      <c r="B8" s="13">
        <v>6.95</v>
      </c>
      <c r="C8" s="14">
        <v>6.95</v>
      </c>
      <c r="D8" s="14">
        <v>7.95</v>
      </c>
      <c r="E8" s="14">
        <v>7.95</v>
      </c>
      <c r="F8" s="15">
        <v>3.5</v>
      </c>
      <c r="G8" s="15">
        <v>4.75</v>
      </c>
      <c r="H8" s="16">
        <v>4.25</v>
      </c>
      <c r="I8" s="17">
        <v>4</v>
      </c>
    </row>
    <row r="9" spans="1:9">
      <c r="A9" s="12" t="s">
        <v>1</v>
      </c>
      <c r="B9" s="18">
        <v>6.95</v>
      </c>
      <c r="C9" s="19">
        <v>6.95</v>
      </c>
      <c r="D9" s="19">
        <v>7.95</v>
      </c>
      <c r="E9" s="19">
        <v>7.95</v>
      </c>
      <c r="F9" s="20">
        <v>3.5</v>
      </c>
      <c r="G9" s="20">
        <v>4.75</v>
      </c>
      <c r="H9" s="21">
        <v>4.25</v>
      </c>
      <c r="I9" s="22">
        <v>4</v>
      </c>
    </row>
    <row r="10" spans="1:9">
      <c r="A10" s="12" t="s">
        <v>2</v>
      </c>
      <c r="B10" s="18">
        <v>6.95</v>
      </c>
      <c r="C10" s="19">
        <v>6.95</v>
      </c>
      <c r="D10" s="19">
        <v>7.95</v>
      </c>
      <c r="E10" s="19">
        <v>7.95</v>
      </c>
      <c r="F10" s="20">
        <v>3.5</v>
      </c>
      <c r="G10" s="20">
        <v>4.75</v>
      </c>
      <c r="H10" s="21">
        <v>4.25</v>
      </c>
      <c r="I10" s="22">
        <v>4</v>
      </c>
    </row>
    <row r="11" spans="1:9">
      <c r="A11" s="12" t="s">
        <v>3</v>
      </c>
      <c r="B11" s="18">
        <v>6.95</v>
      </c>
      <c r="C11" s="19">
        <v>6.95</v>
      </c>
      <c r="D11" s="19">
        <v>7.95</v>
      </c>
      <c r="E11" s="19">
        <v>7.95</v>
      </c>
      <c r="F11" s="20">
        <v>3.5</v>
      </c>
      <c r="G11" s="20">
        <v>4.75</v>
      </c>
      <c r="H11" s="21">
        <v>4.25</v>
      </c>
      <c r="I11" s="22">
        <v>4</v>
      </c>
    </row>
    <row r="12" spans="1:9">
      <c r="A12" s="12" t="s">
        <v>4</v>
      </c>
      <c r="B12" s="18">
        <v>8.9499999999999993</v>
      </c>
      <c r="C12" s="19">
        <v>8.9499999999999993</v>
      </c>
      <c r="D12" s="19">
        <v>9.9499999999999993</v>
      </c>
      <c r="E12" s="19">
        <v>9.9499999999999993</v>
      </c>
      <c r="F12" s="20">
        <v>4.75</v>
      </c>
      <c r="G12" s="20">
        <v>5.25</v>
      </c>
      <c r="H12" s="21">
        <v>5.25</v>
      </c>
      <c r="I12" s="22">
        <v>5</v>
      </c>
    </row>
    <row r="13" spans="1:9">
      <c r="A13" s="12" t="s">
        <v>5</v>
      </c>
      <c r="B13" s="18">
        <v>8.9499999999999993</v>
      </c>
      <c r="C13" s="19">
        <v>8.9499999999999993</v>
      </c>
      <c r="D13" s="19">
        <v>9.9499999999999993</v>
      </c>
      <c r="E13" s="19">
        <v>9.9499999999999993</v>
      </c>
      <c r="F13" s="20">
        <v>4.75</v>
      </c>
      <c r="G13" s="20">
        <v>5.25</v>
      </c>
      <c r="H13" s="21">
        <v>5.25</v>
      </c>
      <c r="I13" s="22">
        <v>5</v>
      </c>
    </row>
    <row r="14" spans="1:9">
      <c r="A14" s="12" t="s">
        <v>6</v>
      </c>
      <c r="B14" s="18">
        <v>8.9499999999999993</v>
      </c>
      <c r="C14" s="19">
        <v>8.9499999999999993</v>
      </c>
      <c r="D14" s="19">
        <v>9.9499999999999993</v>
      </c>
      <c r="E14" s="19">
        <v>9.9499999999999993</v>
      </c>
      <c r="F14" s="20">
        <v>4.75</v>
      </c>
      <c r="G14" s="20">
        <v>5.25</v>
      </c>
      <c r="H14" s="21">
        <v>5.25</v>
      </c>
      <c r="I14" s="22">
        <v>5</v>
      </c>
    </row>
    <row r="15" spans="1:9">
      <c r="A15" s="12" t="s">
        <v>7</v>
      </c>
      <c r="B15" s="18">
        <v>5.95</v>
      </c>
      <c r="C15" s="19">
        <v>5.95</v>
      </c>
      <c r="D15" s="19">
        <v>6.95</v>
      </c>
      <c r="E15" s="19">
        <v>6.95</v>
      </c>
      <c r="F15" s="20">
        <v>2.95</v>
      </c>
      <c r="G15" s="20">
        <v>3.25</v>
      </c>
      <c r="H15" s="21">
        <v>3.75</v>
      </c>
      <c r="I15" s="22">
        <v>3</v>
      </c>
    </row>
    <row r="16" spans="1:9">
      <c r="A16" s="12" t="s">
        <v>8</v>
      </c>
      <c r="B16" s="18">
        <v>5.95</v>
      </c>
      <c r="C16" s="19">
        <v>5.95</v>
      </c>
      <c r="D16" s="19">
        <v>6.95</v>
      </c>
      <c r="E16" s="19">
        <v>6.95</v>
      </c>
      <c r="F16" s="20">
        <v>2.95</v>
      </c>
      <c r="G16" s="20">
        <v>3.25</v>
      </c>
      <c r="H16" s="21">
        <v>3.75</v>
      </c>
      <c r="I16" s="22">
        <v>3</v>
      </c>
    </row>
    <row r="17" spans="1:9" ht="16.2" thickBot="1">
      <c r="A17" s="12" t="s">
        <v>9</v>
      </c>
      <c r="B17" s="23">
        <v>5.95</v>
      </c>
      <c r="C17" s="24">
        <v>5.95</v>
      </c>
      <c r="D17" s="24">
        <v>6.95</v>
      </c>
      <c r="E17" s="24">
        <v>6.95</v>
      </c>
      <c r="F17" s="25">
        <v>2.95</v>
      </c>
      <c r="G17" s="25">
        <v>3.25</v>
      </c>
      <c r="H17" s="26">
        <v>3.75</v>
      </c>
      <c r="I17" s="27">
        <v>3</v>
      </c>
    </row>
    <row r="18" spans="1:9" ht="16.2" thickTop="1">
      <c r="A18" s="2"/>
      <c r="B18" s="5"/>
      <c r="C18" s="5"/>
      <c r="D18" s="5"/>
      <c r="E18" s="5"/>
      <c r="F18" s="5"/>
      <c r="G18" s="5"/>
      <c r="H18" s="5"/>
      <c r="I18" s="5"/>
    </row>
  </sheetData>
  <mergeCells count="2">
    <mergeCell ref="B6:E6"/>
    <mergeCell ref="F6:I6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</vt:lpstr>
      <vt:lpstr>February</vt:lpstr>
      <vt:lpstr>March</vt:lpstr>
      <vt:lpstr>Unit prices</vt:lpstr>
    </vt:vector>
  </TitlesOfParts>
  <Company>Ingenus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Scott M. Fulton, III</cp:lastModifiedBy>
  <dcterms:created xsi:type="dcterms:W3CDTF">2003-08-05T18:54:46Z</dcterms:created>
  <dcterms:modified xsi:type="dcterms:W3CDTF">2013-01-10T16:04:17Z</dcterms:modified>
</cp:coreProperties>
</file>